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580" tabRatio="751" firstSheet="9" activeTab="15"/>
  </bookViews>
  <sheets>
    <sheet name="Dotations matériels 2009" sheetId="1" r:id="rId1"/>
    <sheet name="Dotations matériels 2010" sheetId="2" r:id="rId2"/>
    <sheet name="Dotations Except fin 2010" sheetId="3" r:id="rId3"/>
    <sheet name="dotations matériels 2011" sheetId="4" r:id="rId4"/>
    <sheet name="Dotations matériels 2012" sheetId="5" r:id="rId5"/>
    <sheet name="Dotations matériels 2013" sheetId="6" r:id="rId6"/>
    <sheet name="Dotations matériels 2014" sheetId="7" r:id="rId7"/>
    <sheet name="Dotations matériels 2015" sheetId="8" r:id="rId8"/>
    <sheet name="Dotations matériels 2016" sheetId="9" r:id="rId9"/>
    <sheet name="Dotations matériels 2017" sheetId="10" r:id="rId10"/>
    <sheet name="Dotations matériels 2018" sheetId="11" r:id="rId11"/>
    <sheet name="Dotations matériels 2019" sheetId="12" r:id="rId12"/>
    <sheet name="Dotations matériels 2020" sheetId="13" r:id="rId13"/>
    <sheet name="Dotations matériels 2021" sheetId="14" r:id="rId14"/>
    <sheet name="Dotations matériels 2022" sheetId="15" r:id="rId15"/>
    <sheet name="Dotations matériels 2023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14" hidden="1">'Dotations matériels 2022'!$C$1:$F$153</definedName>
    <definedName name="_xlnm.Print_Area" localSheetId="2">'Dotations Except fin 2010'!$A$1:$T$40</definedName>
    <definedName name="_xlnm.Print_Area" localSheetId="0">'Dotations matériels 2009'!$B$1:$V$86</definedName>
    <definedName name="_xlnm.Print_Area" localSheetId="1">'Dotations matériels 2010'!$A$1:$Y$81</definedName>
    <definedName name="_xlnm.Print_Area" localSheetId="3">'dotations matériels 2011'!$A$1:$AB$74</definedName>
    <definedName name="_xlnm.Print_Area" localSheetId="4">'Dotations matériels 2012'!$A$1:$AB$86</definedName>
    <definedName name="_xlnm.Print_Area" localSheetId="5">'Dotations matériels 2013'!$A$1:$AC$87</definedName>
    <definedName name="_xlnm.Print_Area" localSheetId="6">'Dotations matériels 2014'!$A$1:$AB$88</definedName>
    <definedName name="_xlnm.Print_Area" localSheetId="7">'Dotations matériels 2015'!$A$1:$AD$90</definedName>
    <definedName name="_xlnm.Print_Area" localSheetId="8">'Dotations matériels 2016'!$A$1:$AD$97</definedName>
    <definedName name="_xlnm.Print_Area" localSheetId="9">'Dotations matériels 2017'!$A$1:$AB$75</definedName>
    <definedName name="_xlnm.Print_Area" localSheetId="12">'Dotations matériels 2020'!$C$2:$AC$5</definedName>
  </definedNames>
  <calcPr fullCalcOnLoad="1"/>
</workbook>
</file>

<file path=xl/comments1.xml><?xml version="1.0" encoding="utf-8"?>
<comments xmlns="http://schemas.openxmlformats.org/spreadsheetml/2006/main">
  <authors>
    <author>dgral</author>
  </authors>
  <commentList>
    <comment ref="R70" authorId="0">
      <text>
        <r>
          <rPr>
            <b/>
            <sz val="8"/>
            <rFont val="Tahoma"/>
            <family val="2"/>
          </rPr>
          <t>Radio particulière : 6 EXP Futaba 2,4 GHz avec AQ TX + chargeur sans servos. 2métteur élève en stock à la FFAM = prix de 138,75 €
Cette radio est faite pour aller avec le planeur en mousse MPX commandé avec les 4 servos.</t>
        </r>
      </text>
    </comment>
    <comment ref="E11" authorId="0">
      <text>
        <r>
          <rPr>
            <b/>
            <sz val="8"/>
            <rFont val="Tahoma"/>
            <family val="2"/>
          </rPr>
          <t>Avion Solo Seul à 57,42 EZ HT</t>
        </r>
      </text>
    </comment>
    <comment ref="J79" authorId="0">
      <text>
        <r>
          <rPr>
            <b/>
            <sz val="8"/>
            <rFont val="Tahoma"/>
            <family val="2"/>
          </rPr>
          <t>helicoptère ECO 8 Ikarus en stock à la FFAM</t>
        </r>
      </text>
    </comment>
    <comment ref="L72" authorId="0">
      <text>
        <r>
          <rPr>
            <b/>
            <sz val="8"/>
            <rFont val="Tahoma"/>
            <family val="2"/>
          </rPr>
          <t>Easy Glider Pro RR avec set de propulsion + 4 servos montés = 162,90 € HT</t>
        </r>
      </text>
    </comment>
    <comment ref="R79" authorId="0">
      <text>
        <r>
          <rPr>
            <b/>
            <sz val="8"/>
            <rFont val="Tahoma"/>
            <family val="2"/>
          </rPr>
          <t xml:space="preserve">Radio 7 c en 2,4 GHz avec servos numériques au prix de 398 €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Sophie Dellac</author>
  </authors>
  <commentList>
    <comment ref="O3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Domino</t>
        </r>
      </text>
    </comment>
    <comment ref="U13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sans la radio</t>
        </r>
      </text>
    </comment>
    <comment ref="AA17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Achat outillage : ponceuse, limes, rapes, station soudage, pinces, clés allen…) pour 300€</t>
        </r>
      </text>
    </comment>
    <comment ref="AB17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Achat d'un modèle Easystar 2 en kit (90€) + 1 easystar 2 RR (190€) + batterie Roxxy (43€)</t>
        </r>
      </text>
    </comment>
    <comment ref="AB21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Achat accus pour Ipanema 2  avion école pour 177€</t>
        </r>
      </text>
    </comment>
    <comment ref="AB27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soihaite une dotation de livret de pilote de la boutique à 13€ pièce</t>
        </r>
      </text>
    </comment>
    <comment ref="AB29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achat de matériel pour caisse de terrain: batterie, clé unvierselle, démarreur électrique, pompe a carburnt, kit laser caisse de terrain...</t>
        </r>
      </text>
    </comment>
    <comment ref="AB30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1 avion de voltige Eflite avion pulse RTF + 1 accu chez Miniplnaes 289,90€</t>
        </r>
      </text>
    </comment>
    <comment ref="AB31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matériel pour apprentissage remorquage: KA8B 3500 de Phoenis Models de 3,50m au prix de 329€</t>
        </r>
      </text>
    </comment>
    <comment ref="AB32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Achat balsa, matériau de construction…)</t>
        </r>
      </text>
    </comment>
    <comment ref="AA37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outillage pour écolde de formation pour les jeunes</t>
        </r>
      </text>
    </comment>
    <comment ref="AB41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Achat d'un calmato aile basse non proposé dans le catalogue + récepteur</t>
        </r>
      </text>
    </comment>
    <comment ref="U42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sans la radio</t>
        </r>
      </text>
    </comment>
    <comment ref="AB42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Achat de matériel pour écolage multirotor et FPV</t>
        </r>
      </text>
    </comment>
    <comment ref="AB43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2 kits laser pupitre pour 67,70€</t>
        </r>
      </text>
    </comment>
    <comment ref="AB44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Achat un kit Héron Multiplex 148,90€ </t>
        </r>
      </text>
    </comment>
    <comment ref="AB45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Achat d'un remorqueur bidule</t>
        </r>
      </text>
    </comment>
    <comment ref="AB46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Accus  55,80€</t>
        </r>
      </text>
    </comment>
    <comment ref="AB47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moteur 4 temps 15cm3</t>
        </r>
      </text>
    </comment>
    <comment ref="AB48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matériel vol libre 300€</t>
        </r>
      </text>
    </comment>
    <comment ref="AB49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Matériel vol libre: pack DJI F450 V3 avec Naza Lite + GPS + train fixe : 219€ </t>
        </r>
      </text>
    </comment>
    <comment ref="N61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Un Ipanema 2 sans radio</t>
        </r>
      </text>
    </comment>
  </commentList>
</comments>
</file>

<file path=xl/comments11.xml><?xml version="1.0" encoding="utf-8"?>
<comments xmlns="http://schemas.openxmlformats.org/spreadsheetml/2006/main">
  <authors>
    <author>Sophie Dellac</author>
  </authors>
  <commentList>
    <comment ref="AC11" authorId="0">
      <text>
        <r>
          <rPr>
            <b/>
            <sz val="9"/>
            <rFont val="Calibri"/>
            <family val="2"/>
          </rPr>
          <t>Sophie Dellac:</t>
        </r>
        <r>
          <rPr>
            <sz val="9"/>
            <rFont val="Calibri"/>
            <family val="2"/>
          </rPr>
          <t xml:space="preserve">
</t>
        </r>
        <r>
          <rPr>
            <sz val="12"/>
            <rFont val="Calibri"/>
            <family val="2"/>
          </rPr>
          <t>Achat matériel activité Montgolfiere</t>
        </r>
      </text>
    </comment>
    <comment ref="AC18" authorId="0">
      <text>
        <r>
          <rPr>
            <b/>
            <sz val="9"/>
            <rFont val="Calibri"/>
            <family val="2"/>
          </rPr>
          <t>Sophie Dellac:</t>
        </r>
        <r>
          <rPr>
            <sz val="9"/>
            <rFont val="Calibri"/>
            <family val="2"/>
          </rPr>
          <t xml:space="preserve">
Cde Fun cub 315€</t>
        </r>
      </text>
    </comment>
    <comment ref="AC22" authorId="0">
      <text>
        <r>
          <rPr>
            <b/>
            <sz val="9"/>
            <rFont val="Calibri"/>
            <family val="2"/>
          </rPr>
          <t>Sophie Dellac:</t>
        </r>
        <r>
          <rPr>
            <sz val="9"/>
            <rFont val="Calibri"/>
            <family val="2"/>
          </rPr>
          <t xml:space="preserve">
</t>
        </r>
        <r>
          <rPr>
            <sz val="14"/>
            <rFont val="Calibri"/>
            <family val="2"/>
          </rPr>
          <t>Moteur brushless, variateur protonik, hélice et pack 4 lipo =185€</t>
        </r>
      </text>
    </comment>
    <comment ref="AC41" authorId="0">
      <text>
        <r>
          <rPr>
            <b/>
            <sz val="9"/>
            <rFont val="Calibri"/>
            <family val="2"/>
          </rPr>
          <t>Sophie Dellac:</t>
        </r>
        <r>
          <rPr>
            <sz val="9"/>
            <rFont val="Calibri"/>
            <family val="2"/>
          </rPr>
          <t xml:space="preserve">
</t>
        </r>
        <r>
          <rPr>
            <sz val="14"/>
            <rFont val="Calibri"/>
            <family val="2"/>
          </rPr>
          <t>Achats de gates FPV</t>
        </r>
      </text>
    </comment>
    <comment ref="AC42" authorId="0">
      <text>
        <r>
          <rPr>
            <b/>
            <sz val="9"/>
            <rFont val="Calibri"/>
            <family val="2"/>
          </rPr>
          <t>Sophie Dellac:</t>
        </r>
        <r>
          <rPr>
            <sz val="9"/>
            <rFont val="Calibri"/>
            <family val="2"/>
          </rPr>
          <t xml:space="preserve">
</t>
        </r>
        <r>
          <rPr>
            <sz val="14"/>
            <rFont val="Calibri"/>
            <family val="2"/>
          </rPr>
          <t>BATTERIE EPS 4S 3300MAH = 262€</t>
        </r>
      </text>
    </comment>
    <comment ref="AC49" authorId="0">
      <text>
        <r>
          <rPr>
            <b/>
            <sz val="9"/>
            <rFont val="Calibri"/>
            <family val="2"/>
          </rPr>
          <t>Sophie Dellac:</t>
        </r>
        <r>
          <rPr>
            <sz val="9"/>
            <rFont val="Calibri"/>
            <family val="2"/>
          </rPr>
          <t xml:space="preserve">
</t>
        </r>
        <r>
          <rPr>
            <sz val="14"/>
            <rFont val="Calibri"/>
            <family val="2"/>
          </rPr>
          <t>ACHAT SOLO SPORT + RECEPTEUR + OS MAX 46AX = 251 €</t>
        </r>
      </text>
    </comment>
    <comment ref="AC59" authorId="0">
      <text>
        <r>
          <rPr>
            <b/>
            <sz val="9"/>
            <rFont val="Calibri"/>
            <family val="2"/>
          </rPr>
          <t>Sophie Dellac:</t>
        </r>
        <r>
          <rPr>
            <sz val="9"/>
            <rFont val="Calibri"/>
            <family val="2"/>
          </rPr>
          <t xml:space="preserve">
PROBLÈME DOTATION HELICO 2017 - RACHAT PIECES POUR 460€</t>
        </r>
      </text>
    </comment>
    <comment ref="AA65" authorId="0">
      <text>
        <r>
          <rPr>
            <b/>
            <sz val="9"/>
            <rFont val="Calibri"/>
            <family val="2"/>
          </rPr>
          <t>Sophie Dellac:</t>
        </r>
        <r>
          <rPr>
            <sz val="9"/>
            <rFont val="Calibri"/>
            <family val="2"/>
          </rPr>
          <t xml:space="preserve">
</t>
        </r>
        <r>
          <rPr>
            <sz val="14"/>
            <rFont val="Calibri"/>
            <family val="2"/>
          </rPr>
          <t>PINCES, FORETS, GAINES, SOUDURE…=240€</t>
        </r>
      </text>
    </comment>
    <comment ref="AC65" authorId="0">
      <text>
        <r>
          <rPr>
            <b/>
            <sz val="9"/>
            <rFont val="Calibri"/>
            <family val="2"/>
          </rPr>
          <t>Sophie Dellac:</t>
        </r>
        <r>
          <rPr>
            <sz val="9"/>
            <rFont val="Calibri"/>
            <family val="2"/>
          </rPr>
          <t xml:space="preserve">
</t>
        </r>
        <r>
          <rPr>
            <sz val="14"/>
            <rFont val="Calibri"/>
            <family val="2"/>
          </rPr>
          <t>ACHAT MODULE JETI TU 2 EN MODE 1 = 109,90€</t>
        </r>
      </text>
    </comment>
    <comment ref="AC66" authorId="0">
      <text>
        <r>
          <rPr>
            <b/>
            <sz val="9"/>
            <rFont val="Calibri"/>
            <family val="2"/>
          </rPr>
          <t>Sophie Dellac:</t>
        </r>
        <r>
          <rPr>
            <sz val="9"/>
            <rFont val="Calibri"/>
            <family val="2"/>
          </rPr>
          <t xml:space="preserve">
ACHAT KIT COMPLET AVION HACKER CAR COMPATIBLE AVEC BATTERIE 3S DU CLUB </t>
        </r>
        <r>
          <rPr>
            <sz val="10"/>
            <rFont val="Calibri"/>
            <family val="2"/>
          </rPr>
          <t>= 280€</t>
        </r>
      </text>
    </comment>
  </commentList>
</comments>
</file>

<file path=xl/comments12.xml><?xml version="1.0" encoding="utf-8"?>
<comments xmlns="http://schemas.openxmlformats.org/spreadsheetml/2006/main">
  <authors>
    <author>Sophie Dellac</author>
  </authors>
  <commentList>
    <comment ref="Z9" authorId="0">
      <text>
        <r>
          <rPr>
            <b/>
            <sz val="14"/>
            <color indexed="8"/>
            <rFont val="Calibri"/>
            <family val="2"/>
          </rPr>
          <t>Sophie Dellac:</t>
        </r>
        <r>
          <rPr>
            <sz val="14"/>
            <color indexed="8"/>
            <rFont val="Calibri"/>
            <family val="2"/>
          </rPr>
          <t xml:space="preserve">
</t>
        </r>
        <r>
          <rPr>
            <sz val="14"/>
            <color indexed="8"/>
            <rFont val="Calibri"/>
            <family val="2"/>
          </rPr>
          <t>matériel pour F1S: minuterie, moteur cobra, ESC Cobra, micro servo, batterie…)</t>
        </r>
      </text>
    </comment>
    <comment ref="Z10" authorId="0">
      <text>
        <r>
          <rPr>
            <b/>
            <sz val="14"/>
            <rFont val="Calibri"/>
            <family val="2"/>
          </rPr>
          <t>Sophie Dellac:</t>
        </r>
        <r>
          <rPr>
            <sz val="14"/>
            <rFont val="Calibri"/>
            <family val="2"/>
          </rPr>
          <t xml:space="preserve">
Consommables pour école de pilotage pour les kits funcub, polyclub…): Batterie, hélice, fiches, …)</t>
        </r>
      </text>
    </comment>
    <comment ref="X17" authorId="0">
      <text>
        <r>
          <rPr>
            <b/>
            <sz val="14"/>
            <rFont val="Calibri"/>
            <family val="2"/>
          </rPr>
          <t>Sophie Dellac:</t>
        </r>
        <r>
          <rPr>
            <sz val="14"/>
            <rFont val="Calibri"/>
            <family val="2"/>
          </rPr>
          <t xml:space="preserve">
imprimante 3D
tarif  282,66€</t>
        </r>
      </text>
    </comment>
    <comment ref="Z21" authorId="0">
      <text>
        <r>
          <rPr>
            <b/>
            <sz val="14"/>
            <rFont val="Calibri"/>
            <family val="2"/>
          </rPr>
          <t>Sophie Dellac:</t>
        </r>
        <r>
          <rPr>
            <sz val="14"/>
            <rFont val="Calibri"/>
            <family val="2"/>
          </rPr>
          <t xml:space="preserve">
Achat de gates</t>
        </r>
      </text>
    </comment>
    <comment ref="Z28" authorId="0">
      <text>
        <r>
          <rPr>
            <b/>
            <sz val="14"/>
            <color indexed="8"/>
            <rFont val="Calibri"/>
            <family val="2"/>
          </rPr>
          <t>Sophie Dellac:</t>
        </r>
        <r>
          <rPr>
            <sz val="14"/>
            <color indexed="8"/>
            <rFont val="Calibri"/>
            <family val="2"/>
          </rPr>
          <t xml:space="preserve">
</t>
        </r>
        <r>
          <rPr>
            <sz val="14"/>
            <color indexed="8"/>
            <rFont val="Calibri"/>
            <family val="2"/>
          </rPr>
          <t>Ripmax WOT4 MK2 ARTF 345€</t>
        </r>
      </text>
    </comment>
    <comment ref="X36" authorId="0">
      <text>
        <r>
          <rPr>
            <b/>
            <sz val="9"/>
            <rFont val="Calibri"/>
            <family val="2"/>
          </rPr>
          <t>Sophie Dellac:</t>
        </r>
        <r>
          <rPr>
            <sz val="9"/>
            <rFont val="Calibri"/>
            <family val="2"/>
          </rPr>
          <t xml:space="preserve">
</t>
        </r>
        <r>
          <rPr>
            <sz val="14"/>
            <rFont val="Calibri"/>
            <family val="2"/>
          </rPr>
          <t>Imprimante 3D</t>
        </r>
      </text>
    </comment>
    <comment ref="X41" authorId="0">
      <text>
        <r>
          <rPr>
            <b/>
            <sz val="14"/>
            <color indexed="8"/>
            <rFont val="Calibri"/>
            <family val="2"/>
          </rPr>
          <t>Sophie Dellac:</t>
        </r>
        <r>
          <rPr>
            <sz val="14"/>
            <color indexed="8"/>
            <rFont val="Calibri"/>
            <family val="2"/>
          </rPr>
          <t xml:space="preserve">
</t>
        </r>
        <r>
          <rPr>
            <sz val="14"/>
            <color indexed="8"/>
            <rFont val="Calibri"/>
            <family val="2"/>
          </rPr>
          <t xml:space="preserve">IMPRIMANTE 3D
</t>
        </r>
        <r>
          <rPr>
            <sz val="14"/>
            <color indexed="8"/>
            <rFont val="Calibri"/>
            <family val="2"/>
          </rPr>
          <t>256,86€</t>
        </r>
      </text>
    </comment>
    <comment ref="X44" authorId="0">
      <text>
        <r>
          <rPr>
            <b/>
            <sz val="14"/>
            <color indexed="8"/>
            <rFont val="Calibri"/>
            <family val="2"/>
          </rPr>
          <t>Sophie Dellac:</t>
        </r>
        <r>
          <rPr>
            <sz val="14"/>
            <color indexed="8"/>
            <rFont val="Calibri"/>
            <family val="2"/>
          </rPr>
          <t xml:space="preserve">
</t>
        </r>
        <r>
          <rPr>
            <sz val="14"/>
            <color indexed="8"/>
            <rFont val="Calibri"/>
            <family val="2"/>
          </rPr>
          <t xml:space="preserve">ACHAT SCIE A RUBAN 
</t>
        </r>
        <r>
          <rPr>
            <sz val="14"/>
            <color indexed="8"/>
            <rFont val="Calibri"/>
            <family val="2"/>
          </rPr>
          <t>290,59€</t>
        </r>
      </text>
    </comment>
    <comment ref="X47" authorId="0">
      <text>
        <r>
          <rPr>
            <b/>
            <sz val="14"/>
            <color indexed="8"/>
            <rFont val="Calibri"/>
            <family val="2"/>
          </rPr>
          <t xml:space="preserve">IMPRIMANTE 3D 
</t>
        </r>
        <r>
          <rPr>
            <b/>
            <sz val="14"/>
            <color indexed="8"/>
            <rFont val="Calibri"/>
            <family val="2"/>
          </rPr>
          <t>338,79€</t>
        </r>
      </text>
    </comment>
    <comment ref="Z50" authorId="0">
      <text>
        <r>
          <rPr>
            <b/>
            <sz val="14"/>
            <rFont val="Calibri"/>
            <family val="2"/>
          </rPr>
          <t>Sophie Dellac:</t>
        </r>
        <r>
          <rPr>
            <sz val="14"/>
            <rFont val="Calibri"/>
            <family val="2"/>
          </rPr>
          <t xml:space="preserve">
Gates</t>
        </r>
      </text>
    </comment>
    <comment ref="Z54" authorId="0">
      <text>
        <r>
          <rPr>
            <b/>
            <sz val="14"/>
            <color indexed="8"/>
            <rFont val="Calibri"/>
            <family val="2"/>
          </rPr>
          <t>Sophie Dellac:</t>
        </r>
        <r>
          <rPr>
            <sz val="14"/>
            <color indexed="8"/>
            <rFont val="Calibri"/>
            <family val="2"/>
          </rPr>
          <t xml:space="preserve">
</t>
        </r>
        <r>
          <rPr>
            <sz val="14"/>
            <color indexed="8"/>
            <rFont val="Calibri"/>
            <family val="2"/>
          </rPr>
          <t xml:space="preserve">UP 610DC 200W et EPS 4S 3750mAh 30C
</t>
        </r>
        <r>
          <rPr>
            <sz val="14"/>
            <color indexed="8"/>
            <rFont val="Calibri"/>
            <family val="2"/>
          </rPr>
          <t xml:space="preserve"> total 299,28€ </t>
        </r>
      </text>
    </comment>
    <comment ref="Z59" authorId="0">
      <text>
        <r>
          <rPr>
            <sz val="14"/>
            <color indexed="8"/>
            <rFont val="Calibri"/>
            <family val="2"/>
          </rPr>
          <t>Sophie Dellac:Balise Icare pur un junior</t>
        </r>
        <r>
          <rPr>
            <sz val="9"/>
            <color indexed="8"/>
            <rFont val="Calibri"/>
            <family val="2"/>
          </rPr>
          <t xml:space="preserve">
</t>
        </r>
      </text>
    </comment>
    <comment ref="Z70" authorId="0">
      <text>
        <r>
          <rPr>
            <b/>
            <sz val="14"/>
            <rFont val="Calibri"/>
            <family val="2"/>
          </rPr>
          <t>Sophie Dellac:</t>
        </r>
        <r>
          <rPr>
            <sz val="14"/>
            <rFont val="Calibri"/>
            <family val="2"/>
          </rPr>
          <t xml:space="preserve">
Batterie Hacker Power X Lipo - 289,20€ </t>
        </r>
      </text>
    </comment>
    <comment ref="Z73" authorId="0">
      <text>
        <r>
          <rPr>
            <b/>
            <sz val="12"/>
            <rFont val="Calibri"/>
            <family val="2"/>
          </rPr>
          <t>Sophie Dellac:</t>
        </r>
        <r>
          <rPr>
            <sz val="12"/>
            <rFont val="Calibri"/>
            <family val="2"/>
          </rPr>
          <t xml:space="preserve">
ACHAT DE TISSUS DE VERRE, DE CARBONE, ET LES RESINES POUR ECOLE DE CONSTRUCTION
PLAFOND 300€</t>
        </r>
      </text>
    </comment>
    <comment ref="Z74" authorId="0">
      <text>
        <r>
          <rPr>
            <b/>
            <sz val="14"/>
            <rFont val="Calibri"/>
            <family val="2"/>
          </rPr>
          <t>Sophie Dellac:</t>
        </r>
        <r>
          <rPr>
            <sz val="14"/>
            <rFont val="Calibri"/>
            <family val="2"/>
          </rPr>
          <t xml:space="preserve">
Matériel de formation - dépron, batterie, cutter, connecteur,...</t>
        </r>
      </text>
    </comment>
  </commentList>
</comments>
</file>

<file path=xl/comments13.xml><?xml version="1.0" encoding="utf-8"?>
<comments xmlns="http://schemas.openxmlformats.org/spreadsheetml/2006/main">
  <authors>
    <author>tc={6B0B035E-0EB2-5F4F-BC58-40B1AABF50D3}</author>
    <author>tc={83250995-0A5B-DC46-8FD0-776518019591}</author>
  </authors>
  <commentList>
    <comment ref="S24" authorId="0">
      <text>
        <r>
          <rPr>
            <sz val="12"/>
            <color indexed="8"/>
            <rFont val="Calibri"/>
            <family val="2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club 0750: pas de kit FPV remplacé par kit easyglider</t>
        </r>
      </text>
    </comment>
    <comment ref="AA86" authorId="1">
      <text>
        <r>
          <rPr>
            <sz val="12"/>
            <color indexed="8"/>
            <rFont val="Calibri"/>
            <family val="2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2 trousses pour le club 0698</t>
        </r>
      </text>
    </comment>
  </commentList>
</comments>
</file>

<file path=xl/comments2.xml><?xml version="1.0" encoding="utf-8"?>
<comments xmlns="http://schemas.openxmlformats.org/spreadsheetml/2006/main">
  <authors>
    <author>dgral</author>
  </authors>
  <commentList>
    <comment ref="G10" authorId="0">
      <text>
        <r>
          <rPr>
            <b/>
            <sz val="8"/>
            <rFont val="Tahoma"/>
            <family val="2"/>
          </rPr>
          <t>Contenu :
- radio 6 voies Futaba 2,4 GHz à185,27 €
- moteur OS 46 Ax Graupner à 95 €
- Avion calmato Kyosho à 64,58 €</t>
        </r>
      </text>
    </comment>
    <comment ref="H10" authorId="0">
      <text>
        <r>
          <rPr>
            <b/>
            <sz val="8"/>
            <rFont val="Tahoma"/>
            <family val="2"/>
          </rPr>
          <t>Contenu :
- moteur OS 46 Ax Graupner à 95 €
- Avion calmato Kyosho à 64,58 €</t>
        </r>
      </text>
    </comment>
    <comment ref="I10" authorId="0">
      <text>
        <r>
          <rPr>
            <b/>
            <sz val="8"/>
            <rFont val="Tahoma"/>
            <family val="2"/>
          </rPr>
          <t>Contenu :
- radio 6 voies Futaba 2,4 GHz à185,27 €
- Avion calmato Kyosho à 64,58 €</t>
        </r>
      </text>
    </comment>
    <comment ref="J10" authorId="0">
      <text>
        <r>
          <rPr>
            <b/>
            <sz val="8"/>
            <rFont val="Tahoma"/>
            <family val="2"/>
          </rPr>
          <t>Contenu :
- Contender 60 de Great Planes à 119 €</t>
        </r>
      </text>
    </comment>
    <comment ref="K10" authorId="0">
      <text>
        <r>
          <rPr>
            <b/>
            <sz val="8"/>
            <rFont val="Tahoma"/>
            <family val="2"/>
          </rPr>
          <t>Contenu :
- Prima de Svenson à 25 €</t>
        </r>
      </text>
    </comment>
    <comment ref="L10" authorId="0">
      <text>
        <r>
          <rPr>
            <b/>
            <sz val="8"/>
            <rFont val="Tahoma"/>
            <family val="2"/>
          </rPr>
          <t>Contenu :
- Mousse Polyclub FFAM à
- Accastillage Bat Modélisme à
- Propulsion Topmodel à</t>
        </r>
      </text>
    </comment>
    <comment ref="N10" authorId="0">
      <text>
        <r>
          <rPr>
            <b/>
            <sz val="8"/>
            <rFont val="Tahoma"/>
            <family val="2"/>
          </rPr>
          <t>Contenu :
- Orion Ep avec motorisation (Avio et Tiger)</t>
        </r>
      </text>
    </comment>
    <comment ref="O10" authorId="0">
      <text>
        <r>
          <rPr>
            <b/>
            <sz val="8"/>
            <rFont val="Tahoma"/>
            <family val="2"/>
          </rPr>
          <t>Contenu :
- Electro junior Sport de Graupner à 74,90 e (avec motorisation)</t>
        </r>
      </text>
    </comment>
    <comment ref="P10" authorId="0">
      <text>
        <r>
          <rPr>
            <b/>
            <sz val="8"/>
            <rFont val="Tahoma"/>
            <family val="2"/>
          </rPr>
          <t>Motoplaneur Spectra Great Planes</t>
        </r>
      </text>
    </comment>
    <comment ref="S10" authorId="0">
      <text>
        <r>
          <rPr>
            <b/>
            <sz val="8"/>
            <rFont val="Tahoma"/>
            <family val="2"/>
          </rPr>
          <t>Contenu :
- Greta Planes chez Scientific France</t>
        </r>
      </text>
    </comment>
    <comment ref="U24" authorId="0">
      <text>
        <r>
          <rPr>
            <b/>
            <sz val="8"/>
            <rFont val="Tahoma"/>
            <family val="2"/>
          </rPr>
          <t>Souhait d'une radio X 6 Graupner</t>
        </r>
      </text>
    </comment>
  </commentList>
</comments>
</file>

<file path=xl/comments3.xml><?xml version="1.0" encoding="utf-8"?>
<comments xmlns="http://schemas.openxmlformats.org/spreadsheetml/2006/main">
  <authors>
    <author>dgral</author>
  </authors>
  <commentList>
    <comment ref="C10" authorId="0">
      <text>
        <r>
          <rPr>
            <b/>
            <sz val="8"/>
            <rFont val="Tahoma"/>
            <family val="2"/>
          </rPr>
          <t>Contenu :
- radio 6 voies Futaba 2,4 GHz à185,27 €
- moteur OS 46 Ax Graupner à 95 €
- Avion calmato Kyosho à 64,58 €</t>
        </r>
      </text>
    </comment>
    <comment ref="D10" authorId="0">
      <text>
        <r>
          <rPr>
            <b/>
            <sz val="8"/>
            <rFont val="Tahoma"/>
            <family val="2"/>
          </rPr>
          <t>Contenu :
- moteur OS 46 Ax Graupner à 95 €
- Avion calmato Kyosho à 64,58 €</t>
        </r>
      </text>
    </comment>
    <comment ref="E10" authorId="0">
      <text>
        <r>
          <rPr>
            <b/>
            <sz val="8"/>
            <rFont val="Tahoma"/>
            <family val="2"/>
          </rPr>
          <t>Contenu :
- radio 6 voies Futaba 2,4 GHz à185,27 €
- Avion calmato Kyosho à 64,58 €</t>
        </r>
      </text>
    </comment>
    <comment ref="F10" authorId="0">
      <text>
        <r>
          <rPr>
            <b/>
            <sz val="8"/>
            <rFont val="Tahoma"/>
            <family val="2"/>
          </rPr>
          <t>Contenu :
- Contender 60 de Great Planes à 119 €</t>
        </r>
      </text>
    </comment>
    <comment ref="G10" authorId="0">
      <text>
        <r>
          <rPr>
            <b/>
            <sz val="8"/>
            <rFont val="Tahoma"/>
            <family val="2"/>
          </rPr>
          <t>Contenu :
- Prima de Svenson à 25 €</t>
        </r>
      </text>
    </comment>
    <comment ref="H10" authorId="0">
      <text>
        <r>
          <rPr>
            <b/>
            <sz val="8"/>
            <rFont val="Tahoma"/>
            <family val="2"/>
          </rPr>
          <t>Contenu :
- Mousse Polyclub FFAM à
- Accastillage Bat Modélisme à
- Propulsion Topmodel à</t>
        </r>
      </text>
    </comment>
    <comment ref="J10" authorId="0">
      <text>
        <r>
          <rPr>
            <b/>
            <sz val="8"/>
            <rFont val="Tahoma"/>
            <family val="2"/>
          </rPr>
          <t>Contenu :
- Orion Ep avec motorisation (Avio et Tiger)</t>
        </r>
      </text>
    </comment>
    <comment ref="K10" authorId="0">
      <text>
        <r>
          <rPr>
            <b/>
            <sz val="8"/>
            <rFont val="Tahoma"/>
            <family val="2"/>
          </rPr>
          <t>Contenu :
- Electro junior Sport de Graupner à 74,90 e (avec motorisation)</t>
        </r>
      </text>
    </comment>
    <comment ref="L10" authorId="0">
      <text>
        <r>
          <rPr>
            <b/>
            <sz val="8"/>
            <rFont val="Tahoma"/>
            <family val="2"/>
          </rPr>
          <t>Motoplaneur Spectra Great Planes</t>
        </r>
      </text>
    </comment>
    <comment ref="O10" authorId="0">
      <text>
        <r>
          <rPr>
            <b/>
            <sz val="8"/>
            <rFont val="Tahoma"/>
            <family val="2"/>
          </rPr>
          <t>Contenu :
- Greta Planes chez Scientific France</t>
        </r>
      </text>
    </comment>
  </commentList>
</comments>
</file>

<file path=xl/comments4.xml><?xml version="1.0" encoding="utf-8"?>
<comments xmlns="http://schemas.openxmlformats.org/spreadsheetml/2006/main">
  <authors>
    <author>dgral</author>
    <author>sgestion</author>
  </authors>
  <commentList>
    <comment ref="J5" authorId="0">
      <text>
        <r>
          <rPr>
            <b/>
            <sz val="8"/>
            <rFont val="Tahoma"/>
            <family val="2"/>
          </rPr>
          <t>Contenu :
- radio 6 voies Futaba 2,4 GHz à 165,55 €
- moteur OS 46 Ax T2M à 122,48 €
- Avion calmato Kyosho à 73,55 €</t>
        </r>
      </text>
    </comment>
    <comment ref="K5" authorId="0">
      <text>
        <r>
          <rPr>
            <b/>
            <sz val="8"/>
            <rFont val="Tahoma"/>
            <family val="2"/>
          </rPr>
          <t>Contenu :
- moteur OS 46 AX T2M : 122,48 € 
- Avion calmato Kyosho à 73,55 €</t>
        </r>
      </text>
    </comment>
    <comment ref="L5" authorId="0">
      <text>
        <r>
          <rPr>
            <b/>
            <sz val="8"/>
            <rFont val="Tahoma"/>
            <family val="2"/>
          </rPr>
          <t>Contenu :
- radio 6 voies Futaba 2,4 GHz à165,55 €
- Avion calmato Kyosho à 73,55 €</t>
        </r>
      </text>
    </comment>
    <comment ref="M5" authorId="0">
      <text>
        <r>
          <rPr>
            <b/>
            <sz val="8"/>
            <rFont val="Tahoma"/>
            <family val="2"/>
          </rPr>
          <t>Contenu :
- Contender 60 de Great Planes à 119 €</t>
        </r>
      </text>
    </comment>
    <comment ref="N5" authorId="0">
      <text>
        <r>
          <rPr>
            <b/>
            <sz val="8"/>
            <rFont val="Tahoma"/>
            <family val="2"/>
          </rPr>
          <t>Contenu :
- Prima de Svenson à 25 €</t>
        </r>
      </text>
    </comment>
    <comment ref="O5" authorId="0">
      <text>
        <r>
          <rPr>
            <b/>
            <sz val="8"/>
            <rFont val="Tahoma"/>
            <family val="2"/>
          </rPr>
          <t>Contenu :
- Avion trainer EPP livré avec servo, batterie Lipo, chargeur équilibreur 12V, moteur brushless</t>
        </r>
      </text>
    </comment>
    <comment ref="R5" authorId="0">
      <text>
        <r>
          <rPr>
            <b/>
            <sz val="8"/>
            <rFont val="Tahoma"/>
            <family val="2"/>
          </rPr>
          <t>Contenu :
Avion Traineur Mk3 super Combo à 275,18 euros mais erreur modifiée en juin pour 1 planeur soaring star avec moteur + varaiteur brushless Coût = 198,98 TTC frais de port inclus</t>
        </r>
      </text>
    </comment>
    <comment ref="S5" authorId="0">
      <text>
        <r>
          <rPr>
            <b/>
            <sz val="8"/>
            <rFont val="Tahoma"/>
            <family val="2"/>
          </rPr>
          <t>Contenu :
- kit easyglider Pro RR Electric 264224</t>
        </r>
      </text>
    </comment>
    <comment ref="T5" authorId="0">
      <text>
        <r>
          <rPr>
            <b/>
            <sz val="8"/>
            <rFont val="Tahoma"/>
            <family val="2"/>
          </rPr>
          <t>spectra avec moteur électrique 600</t>
        </r>
      </text>
    </comment>
    <comment ref="W5" authorId="0">
      <text>
        <r>
          <rPr>
            <b/>
            <sz val="8"/>
            <rFont val="Tahoma"/>
            <family val="2"/>
          </rPr>
          <t>Contenu :
- Greta Planes chez Scientific France</t>
        </r>
      </text>
    </comment>
    <comment ref="O16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courrier reçu dde exceptionnelle le 25/10/11</t>
        </r>
      </text>
    </comment>
    <comment ref="Y17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courrier reçu le 25/10/2011 demande exceptionnelle</t>
        </r>
      </text>
    </comment>
    <comment ref="AB27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PARTICIPATION DE 300 EUROS POUR ACQUISITION REMORQUEUR BIDULE (valeur 600 euros)</t>
        </r>
      </text>
    </comment>
    <comment ref="J31" authorId="1">
      <text>
        <r>
          <rPr>
            <b/>
            <sz val="10"/>
            <rFont val="Tahoma"/>
            <family val="2"/>
          </rPr>
          <t>sgestion:</t>
        </r>
        <r>
          <rPr>
            <sz val="10"/>
            <rFont val="Tahoma"/>
            <family val="2"/>
          </rPr>
          <t xml:space="preserve">
kit pour CDAM 2030 demande subvention investissement transféré en dotation</t>
        </r>
      </text>
    </comment>
    <comment ref="O32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AJOUTER LE 08/11/11 SUR PROPOSITION CDAM 19</t>
        </r>
      </text>
    </comment>
    <comment ref="Y33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AJOUTER LE 08/11/11 SUR PROPOSITION CDAM</t>
        </r>
      </text>
    </comment>
    <comment ref="AB39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 chargeur lipo pour 4/5 éléments</t>
        </r>
      </text>
    </comment>
    <comment ref="AB64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</t>
        </r>
      </text>
    </comment>
    <comment ref="AB67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achat de matériel spécifique au vol circulaire (moteur…)</t>
        </r>
      </text>
    </comment>
    <comment ref="AB68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radio pour pratique indoor</t>
        </r>
      </text>
    </comment>
    <comment ref="AB69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radio pour pratique en indoor</t>
        </r>
      </text>
    </comment>
  </commentList>
</comments>
</file>

<file path=xl/comments5.xml><?xml version="1.0" encoding="utf-8"?>
<comments xmlns="http://schemas.openxmlformats.org/spreadsheetml/2006/main">
  <authors>
    <author>dgral</author>
    <author>sgestion</author>
  </authors>
  <commentList>
    <comment ref="K5" authorId="0">
      <text>
        <r>
          <rPr>
            <b/>
            <sz val="8"/>
            <rFont val="Tahoma"/>
            <family val="2"/>
          </rPr>
          <t xml:space="preserve">Contenu :
- radio 6 voies Futaba 2,4 GHz à 165,55 €
- moteur OS 46 Ax T2M à 122,50 €
- Avion calmato Kyosho à 83,34 €
</t>
        </r>
      </text>
    </comment>
    <comment ref="L5" authorId="0">
      <text>
        <r>
          <rPr>
            <b/>
            <sz val="8"/>
            <rFont val="Tahoma"/>
            <family val="2"/>
          </rPr>
          <t xml:space="preserve">Contenu :
- radio Futaba 6J 2,4 Ghz à 165,55 € 
- Avion calmato Kyosho à 83,34 € </t>
        </r>
      </text>
    </comment>
    <comment ref="M5" authorId="0">
      <text>
        <r>
          <rPr>
            <b/>
            <sz val="8"/>
            <rFont val="Tahoma"/>
            <family val="2"/>
          </rPr>
          <t>Contenu :
- moteur OS MAX 46 AX à 122,50 €
- Avion calmato Kyosho à 83,34 €</t>
        </r>
      </text>
    </comment>
    <comment ref="N5" authorId="0">
      <text>
        <r>
          <rPr>
            <b/>
            <sz val="8"/>
            <rFont val="Tahoma"/>
            <family val="2"/>
          </rPr>
          <t>Contenu :
- Contender 60 de Great Planes à 119 €</t>
        </r>
      </text>
    </comment>
    <comment ref="O5" authorId="0">
      <text>
        <r>
          <rPr>
            <b/>
            <sz val="8"/>
            <rFont val="Tahoma"/>
            <family val="2"/>
          </rPr>
          <t>Contenu :
- Condor 40 Kit à 83,15 €</t>
        </r>
      </text>
    </comment>
    <comment ref="P5" authorId="0">
      <text>
        <r>
          <rPr>
            <b/>
            <sz val="8"/>
            <rFont val="Tahoma"/>
            <family val="2"/>
          </rPr>
          <t>Contenu :
- Avion trainer EPP livré avec servo, batterie Lipo, chargeur équilibreur 12V, moteur brushless + radio double commande</t>
        </r>
      </text>
    </comment>
    <comment ref="S5" authorId="0">
      <text>
        <r>
          <rPr>
            <b/>
            <sz val="8"/>
            <rFont val="Tahoma"/>
            <family val="2"/>
          </rPr>
          <t xml:space="preserve">Contenu :
Avion Parada 1,92m ARF + Xpower XC3223/10 + controleur XREG 30
Prix : 215 € </t>
        </r>
      </text>
    </comment>
    <comment ref="T5" authorId="0">
      <text>
        <r>
          <rPr>
            <b/>
            <sz val="8"/>
            <rFont val="Tahoma"/>
            <family val="2"/>
          </rPr>
          <t>Contenu :
- kit easyglider Pro RR Electric 264224</t>
        </r>
      </text>
    </comment>
    <comment ref="U5" authorId="0">
      <text>
        <r>
          <rPr>
            <b/>
            <sz val="8"/>
            <rFont val="Tahoma"/>
            <family val="2"/>
          </rPr>
          <t>Begin Air 2m Kit Laser + controleur Xpower XREG40 + moteur Xpower XC2820/8</t>
        </r>
      </text>
    </comment>
    <comment ref="V5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Moteur OS MAX 46 AX prix 122,50 € </t>
        </r>
      </text>
    </comment>
    <comment ref="W5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Moteur FS 54S Thunder Tiger</t>
        </r>
      </text>
    </comment>
    <comment ref="X5" authorId="0">
      <text>
        <r>
          <rPr>
            <b/>
            <sz val="8"/>
            <rFont val="Tahoma"/>
            <family val="2"/>
          </rPr>
          <t>Contenu :
- Ikarus easy Fly 4 Game Commander</t>
        </r>
      </text>
    </comment>
    <comment ref="P20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courrier reçu dde exceptionnelle le 25/10/11</t>
        </r>
      </text>
    </comment>
    <comment ref="W21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cde annulée car ne peut pas utilise de moteur thermique</t>
        </r>
      </text>
    </comment>
    <comment ref="AB32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Récepteur Futaba en 2,4 Ghz</t>
        </r>
      </text>
    </comment>
    <comment ref="AB34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Passage paturage modele pietons 352 euros</t>
        </r>
      </text>
    </comment>
    <comment ref="AB35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Achat d'un easystar valeur 139,40 € </t>
        </r>
      </text>
    </comment>
    <comment ref="AB67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Achat de modele  P30 pour stage
Total 450 € </t>
        </r>
      </text>
    </comment>
    <comment ref="AB77" authorId="1">
      <text>
        <r>
          <rPr>
            <sz val="10"/>
            <color indexed="8"/>
            <rFont val="Arial"/>
            <family val="2"/>
          </rPr>
          <t xml:space="preserve">sgestion:
</t>
        </r>
        <r>
          <rPr>
            <sz val="10"/>
            <color indexed="8"/>
            <rFont val="Arial"/>
            <family val="2"/>
          </rPr>
          <t>achat matériel machines et appareillages divers adapté à hélico indoor</t>
        </r>
      </text>
    </comment>
    <comment ref="Q78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n'est pas intéressé par la double commande mais par 2 park flyer EPP</t>
        </r>
      </text>
    </comment>
    <comment ref="AB78" authorId="1">
      <text>
        <r>
          <rPr>
            <sz val="10"/>
            <color indexed="8"/>
            <rFont val="Arial"/>
            <family val="2"/>
          </rPr>
          <t xml:space="preserve">sgestion:
</t>
        </r>
        <r>
          <rPr>
            <sz val="10"/>
            <color indexed="8"/>
            <rFont val="Arial"/>
            <family val="2"/>
          </rPr>
          <t>achat de machines pour pratique double commande avio et hélico en salle</t>
        </r>
      </text>
    </comment>
  </commentList>
</comments>
</file>

<file path=xl/comments6.xml><?xml version="1.0" encoding="utf-8"?>
<comments xmlns="http://schemas.openxmlformats.org/spreadsheetml/2006/main">
  <authors>
    <author>dgral</author>
    <author>sgestion</author>
    <author>Sophie Dellac</author>
  </authors>
  <commentList>
    <comment ref="K5" authorId="0">
      <text>
        <r>
          <rPr>
            <b/>
            <sz val="8"/>
            <rFont val="Tahoma"/>
            <family val="2"/>
          </rPr>
          <t xml:space="preserve">Contenu :
- radio 6 voies Futaba 2,4 GHz à 175 €
- moteur OS 46 Ax T2M à 113,86 €
- Avion Solo Star Avio et Tiger à 61,78 € 
</t>
        </r>
      </text>
    </comment>
    <comment ref="L5" authorId="0">
      <text>
        <r>
          <rPr>
            <b/>
            <sz val="8"/>
            <rFont val="Tahoma"/>
            <family val="2"/>
          </rPr>
          <t xml:space="preserve">Contenu :
- radio Futaba 6J 2,4 Ghz à 175 € 
- Avion Solo Star Avio et Tiger à 61,78 € </t>
        </r>
      </text>
    </comment>
    <comment ref="M5" authorId="0">
      <text>
        <r>
          <rPr>
            <b/>
            <sz val="8"/>
            <rFont val="Tahoma"/>
            <family val="2"/>
          </rPr>
          <t>Contenu :
- moteur OS MAX 46 AX à 113,86 €
- Avion Solo Star Avio et tiger à 61,78 €</t>
        </r>
      </text>
    </comment>
    <comment ref="N5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- Ipanema II de Topmodel 62,95 € 
- Radio Futaba Avio et Tiger 175 € 
- Moteur + controleur Topmodel 70,20 € 
Frais de port Topmodel : 13 € </t>
        </r>
      </text>
    </comment>
    <comment ref="O5" authorId="0">
      <text>
        <r>
          <rPr>
            <b/>
            <sz val="8"/>
            <rFont val="Tahoma"/>
            <family val="2"/>
          </rPr>
          <t>Contenu :
- ultra Sport 60 de Great Planes à 185,38 €</t>
        </r>
      </text>
    </comment>
    <comment ref="P5" authorId="0">
      <text>
        <r>
          <rPr>
            <b/>
            <sz val="8"/>
            <rFont val="Tahoma"/>
            <family val="2"/>
          </rPr>
          <t>Contenu :
- Condor 40 Kit à 70,20 €</t>
        </r>
      </text>
    </comment>
    <comment ref="Q5" authorId="0">
      <text>
        <r>
          <rPr>
            <b/>
            <sz val="8"/>
            <rFont val="Tahoma"/>
            <family val="2"/>
          </rPr>
          <t>Contenu :
- Avion trainer EPP livré avec servo, batterie Lipo, chargeur équilibreur 12V, moteur brushless + radio double commande</t>
        </r>
      </text>
    </comment>
    <comment ref="R5" authorId="1">
      <text>
        <r>
          <rPr>
            <b/>
            <sz val="8"/>
            <rFont val="Tahoma"/>
            <family val="2"/>
          </rPr>
          <t xml:space="preserve">sgestion:
Modèle Raptor 30 V2 thunder tiger de MRC à 702,69 € </t>
        </r>
        <r>
          <rPr>
            <sz val="8"/>
            <rFont val="Tahoma"/>
            <family val="2"/>
          </rPr>
          <t xml:space="preserve">
</t>
        </r>
      </text>
    </comment>
    <comment ref="S5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Modèle T-Rex 450 Plus DFC de Flash RC à 394,25 € </t>
        </r>
      </text>
    </comment>
    <comment ref="T5" authorId="0">
      <text>
        <r>
          <rPr>
            <b/>
            <sz val="8"/>
            <rFont val="Tahoma"/>
            <family val="2"/>
          </rPr>
          <t>Contenu :
kit Liberty
Prix : 122,52 €</t>
        </r>
      </text>
    </comment>
    <comment ref="U5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Begin Air de Topmodel prix = 113,02 € </t>
        </r>
      </text>
    </comment>
    <comment ref="V5" authorId="0">
      <text>
        <r>
          <rPr>
            <b/>
            <sz val="8"/>
            <rFont val="Tahoma"/>
            <family val="2"/>
          </rPr>
          <t xml:space="preserve">Contenu :
- kit easyglider Pro RR Electric 264224 de multiplex prix = 191,36 € 
-  radio double commande Futaba Avio et tiger (175 € </t>
        </r>
      </text>
    </comment>
    <comment ref="W5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Moteur OS MAX 46 AX prix 113,86 € </t>
        </r>
      </text>
    </comment>
    <comment ref="X5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MoteurOS MAX FS ALPHA à 240,38 € </t>
        </r>
      </text>
    </comment>
    <comment ref="Y5" authorId="0">
      <text>
        <r>
          <rPr>
            <b/>
            <sz val="8"/>
            <rFont val="Tahoma"/>
            <family val="2"/>
          </rPr>
          <t>Contenu :
- Ikarus easy Fly 4 Game Commander</t>
        </r>
      </text>
    </comment>
    <comment ref="AC6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a reçu en 2012 un begin Air + 1 radio Futaba au titre des dotations 2013 pour un montant de 281 €.</t>
        </r>
      </text>
    </comment>
    <comment ref="AC12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Participation achat ordinateur pour formation jeunes sur simulateur</t>
        </r>
      </text>
    </comment>
    <comment ref="T17" authorId="2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a reçu un kit easyglider sans radio 206€ €</t>
        </r>
      </text>
    </comment>
    <comment ref="Q20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courrier reçu dde exceptionnelle le 25/10/11</t>
        </r>
      </text>
    </comment>
    <comment ref="AC20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easy star club 366</t>
        </r>
      </text>
    </comment>
    <comment ref="K29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exceptionnelle suite vol. Commande le 31/10/2012</t>
        </r>
      </text>
    </comment>
    <comment ref="AC33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6 servos S3150 valeur 245 euros</t>
        </r>
      </text>
    </comment>
    <comment ref="T35" authorId="2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a ezçu un kit easyglider sans radio 
valeur 264 €</t>
        </r>
      </text>
    </comment>
    <comment ref="T43" authorId="2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a reçu un kit easyglider sans radio
Valeur 206 €</t>
        </r>
      </text>
    </comment>
    <comment ref="AC56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radio écolage pour hélico école</t>
        </r>
      </text>
    </comment>
    <comment ref="AC65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chargeur pour plusieurs accus</t>
        </r>
      </text>
    </comment>
    <comment ref="K66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en attente modele thermique ou electrique</t>
        </r>
      </text>
    </comment>
    <comment ref="AB73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2 demandes mais pour un total de 300 euros</t>
        </r>
      </text>
    </comment>
    <comment ref="AC73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altimètre + afficheur LCD</t>
        </r>
      </text>
    </comment>
    <comment ref="AB74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2 demandes mais pour un total de 300 euros</t>
        </r>
      </text>
    </comment>
    <comment ref="AB75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scie a chantourner</t>
        </r>
      </text>
    </comment>
  </commentList>
</comments>
</file>

<file path=xl/comments7.xml><?xml version="1.0" encoding="utf-8"?>
<comments xmlns="http://schemas.openxmlformats.org/spreadsheetml/2006/main">
  <authors>
    <author>dgral</author>
    <author>sgestion</author>
    <author>Sophie Dellac</author>
    <author>michael</author>
  </authors>
  <commentList>
    <comment ref="K5" authorId="0">
      <text>
        <r>
          <rPr>
            <b/>
            <sz val="8"/>
            <rFont val="Tahoma"/>
            <family val="2"/>
          </rPr>
          <t xml:space="preserve">Contenu :
- radio 6 voies Futaba 2,4 GHz à 166.84 €
- moteur OS 46 Ax T2M à 113,25 €
- Avion Canary MRC à 62,71 € 
</t>
        </r>
      </text>
    </comment>
    <comment ref="L5" authorId="0">
      <text>
        <r>
          <rPr>
            <b/>
            <sz val="8"/>
            <rFont val="Tahoma"/>
            <family val="2"/>
          </rPr>
          <t xml:space="preserve">Contenu :
- radio Futaba 6J 2,4 Ghz à 166.84 € 
- Avion CANARY de MRC à 62,71 € </t>
        </r>
      </text>
    </comment>
    <comment ref="M5" authorId="0">
      <text>
        <r>
          <rPr>
            <b/>
            <sz val="8"/>
            <rFont val="Tahoma"/>
            <family val="2"/>
          </rPr>
          <t>Contenu :
- moteur OS MAX 46 AX à 113.25 €
- Avion Canary de  MRC à 62,71 €</t>
        </r>
      </text>
    </comment>
    <comment ref="N5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- Ipanema II de Topmodel 75.79 € 
- Radio Futaba Avio et Tiger 133 € 
- Moteur + controleur Topmodel 70,20 € 
Frais de port Topmodel : 13 € </t>
        </r>
      </text>
    </comment>
    <comment ref="O5" authorId="0">
      <text>
        <r>
          <rPr>
            <b/>
            <sz val="8"/>
            <rFont val="Tahoma"/>
            <family val="2"/>
          </rPr>
          <t>Contenu :
- Avion trainer EPP livré avec servo, batterie Lipo, chargeur équilibreur 12V, moteur brushless + radio double commande</t>
        </r>
      </text>
    </comment>
    <comment ref="P5" authorId="1">
      <text>
        <r>
          <rPr>
            <b/>
            <sz val="8"/>
            <rFont val="Tahoma"/>
            <family val="2"/>
          </rPr>
          <t>sgestion:
Modèle Raptor 30 V2 thunder tiger de MRC à 859,15 €</t>
        </r>
      </text>
    </comment>
    <comment ref="Q5" authorId="1">
      <text>
        <r>
          <rPr>
            <b/>
            <sz val="8"/>
            <rFont val="Tahoma"/>
            <family val="2"/>
          </rPr>
          <t>Modèle Raptor Thunder Tiger en électrique + radio Optic 6
de MRC</t>
        </r>
      </text>
    </comment>
    <comment ref="R5" authorId="0">
      <text>
        <r>
          <rPr>
            <b/>
            <sz val="10"/>
            <rFont val="Tahoma"/>
            <family val="2"/>
          </rPr>
          <t>Contenu :
Prix : 104.90 € 
Motoplaneur Liberty + moteur OBL + variateur Ray</t>
        </r>
      </text>
    </comment>
    <comment ref="S5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Begin Air de Topmodel prix = 140,28 €</t>
        </r>
      </text>
    </comment>
    <comment ref="T5" authorId="0">
      <text>
        <r>
          <rPr>
            <b/>
            <sz val="8"/>
            <rFont val="Tahoma"/>
            <family val="2"/>
          </rPr>
          <t xml:space="preserve">Contenu :
- kit easyglider Pro RR Electric  de multiplex prix = 207.10 € 
-  radio double commande Futaba Avio et tiger (149 €) </t>
        </r>
      </text>
    </comment>
    <comment ref="U5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Moteur OS MAX 46 AX prix 113,25 €
T2M </t>
        </r>
      </text>
    </comment>
    <comment ref="V5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MoteurF 54 S 155.26 € de MRC</t>
        </r>
      </text>
    </comment>
    <comment ref="W5" authorId="0">
      <text>
        <r>
          <rPr>
            <b/>
            <sz val="8"/>
            <rFont val="Tahoma"/>
            <family val="2"/>
          </rPr>
          <t>Contenu :
- Ikarus easy Fly 4 Game Commander T2M</t>
        </r>
      </text>
    </comment>
    <comment ref="O20" authorId="1">
      <text>
        <r>
          <rPr>
            <b/>
            <sz val="8"/>
            <rFont val="Tahoma"/>
            <family val="2"/>
          </rPr>
          <t>sgestion:</t>
        </r>
        <r>
          <rPr>
            <sz val="8"/>
            <rFont val="Tahoma"/>
            <family val="2"/>
          </rPr>
          <t xml:space="preserve">
courrier reçu dde exceptionnelle le 25/10/11</t>
        </r>
      </text>
    </comment>
    <comment ref="AB20" authorId="2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Motoplaneur Multiplex easystar 2 à 200€</t>
        </r>
      </text>
    </comment>
    <comment ref="AB27" authorId="3">
      <text>
        <r>
          <rPr>
            <b/>
            <sz val="9"/>
            <rFont val="Tahoma"/>
            <family val="2"/>
          </rPr>
          <t>sd: 4 altimètres F5J + cordon écolage Futaba</t>
        </r>
        <r>
          <rPr>
            <sz val="9"/>
            <rFont val="Tahoma"/>
            <family val="2"/>
          </rPr>
          <t xml:space="preserve">
310,50 euros</t>
        </r>
      </text>
    </comment>
    <comment ref="AB28" authorId="3">
      <text>
        <r>
          <rPr>
            <b/>
            <sz val="9"/>
            <rFont val="Tahoma"/>
            <family val="2"/>
          </rPr>
          <t>sd:</t>
        </r>
        <r>
          <rPr>
            <sz val="9"/>
            <rFont val="Tahoma"/>
            <family val="2"/>
          </rPr>
          <t xml:space="preserve">
Calmato Alpha 40 + moteur + servo + récepteur + accus et hélice = 354.80 euros</t>
        </r>
      </text>
    </comment>
    <comment ref="O36" authorId="3">
      <text>
        <r>
          <rPr>
            <b/>
            <sz val="9"/>
            <rFont val="Tahoma"/>
            <family val="2"/>
          </rPr>
          <t>sd :
sans la radio</t>
        </r>
        <r>
          <rPr>
            <sz val="9"/>
            <rFont val="Tahoma"/>
            <family val="2"/>
          </rPr>
          <t xml:space="preserve">
</t>
        </r>
      </text>
    </comment>
    <comment ref="O38" authorId="3">
      <text>
        <r>
          <rPr>
            <b/>
            <sz val="9"/>
            <rFont val="Tahoma"/>
            <family val="2"/>
          </rPr>
          <t>sd:</t>
        </r>
        <r>
          <rPr>
            <sz val="9"/>
            <rFont val="Tahoma"/>
            <family val="2"/>
          </rPr>
          <t xml:space="preserve">
sans la radio</t>
        </r>
      </text>
    </comment>
    <comment ref="P51" authorId="3">
      <text>
        <r>
          <rPr>
            <b/>
            <sz val="9"/>
            <rFont val="Tahoma"/>
            <family val="2"/>
          </rPr>
          <t>sd:</t>
        </r>
        <r>
          <rPr>
            <sz val="9"/>
            <rFont val="Tahoma"/>
            <family val="2"/>
          </rPr>
          <t xml:space="preserve">
a expédier chez mr Houel</t>
        </r>
      </text>
    </comment>
    <comment ref="O60" authorId="3">
      <text>
        <r>
          <rPr>
            <b/>
            <sz val="9"/>
            <rFont val="Tahoma"/>
            <family val="2"/>
          </rPr>
          <t>sd:</t>
        </r>
        <r>
          <rPr>
            <sz val="9"/>
            <rFont val="Tahoma"/>
            <family val="2"/>
          </rPr>
          <t xml:space="preserve">
sans radio</t>
        </r>
      </text>
    </comment>
    <comment ref="AB70" authorId="3">
      <text>
        <r>
          <rPr>
            <b/>
            <sz val="9"/>
            <rFont val="Tahoma"/>
            <family val="2"/>
          </rPr>
          <t>acquisition d'un planeur vol libre :</t>
        </r>
        <r>
          <rPr>
            <sz val="9"/>
            <rFont val="Tahoma"/>
            <family val="2"/>
          </rPr>
          <t xml:space="preserve">
 450 euros</t>
        </r>
      </text>
    </comment>
    <comment ref="AB75" authorId="3">
      <text>
        <r>
          <rPr>
            <b/>
            <sz val="9"/>
            <rFont val="Tahoma"/>
            <family val="2"/>
          </rPr>
          <t>sd :</t>
        </r>
        <r>
          <rPr>
            <sz val="9"/>
            <rFont val="Tahoma"/>
            <family val="2"/>
          </rPr>
          <t xml:space="preserve">
achat matériaux EPP et dépron </t>
        </r>
      </text>
    </comment>
    <comment ref="AB76" authorId="3">
      <text>
        <r>
          <rPr>
            <b/>
            <sz val="9"/>
            <rFont val="Tahoma"/>
            <family val="2"/>
          </rPr>
          <t>sd: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achat calmato pour concours voltige</t>
        </r>
      </text>
    </comment>
    <comment ref="AB81" authorId="2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anenometre</t>
        </r>
      </text>
    </comment>
    <comment ref="AB82" authorId="2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électrification trainer</t>
        </r>
      </text>
    </comment>
  </commentList>
</comments>
</file>

<file path=xl/comments8.xml><?xml version="1.0" encoding="utf-8"?>
<comments xmlns="http://schemas.openxmlformats.org/spreadsheetml/2006/main">
  <authors>
    <author>Sophie Dellac</author>
  </authors>
  <commentList>
    <comment ref="AD6" authorId="0">
      <text>
        <r>
          <rPr>
            <b/>
            <sz val="9"/>
            <rFont val="Arial"/>
            <family val="2"/>
          </rPr>
          <t>FFAMc:</t>
        </r>
        <r>
          <rPr>
            <sz val="9"/>
            <rFont val="Arial"/>
            <family val="2"/>
          </rPr>
          <t xml:space="preserve">
Achat d'un remorqueur</t>
        </r>
      </text>
    </comment>
    <comment ref="G12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club 73 pour 150€ et club 654 pour 70€</t>
        </r>
      </text>
    </comment>
    <comment ref="Z12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Achat de bois pour 150€</t>
        </r>
      </text>
    </comment>
    <comment ref="AD22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Achat d'une radio commande pour 199€</t>
        </r>
      </text>
    </comment>
    <comment ref="AD23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achat de matériel pour transférer un avion thermique en propulsion électrique</t>
        </r>
      </text>
    </comment>
    <comment ref="AD27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Achat de 15 batteries</t>
        </r>
      </text>
    </comment>
    <comment ref="V55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TRANSFERT ARTF motorisation électrique evrs kit easyglider car MRC n'a plus de stock
.
Commande à Multiplex le 14/10/20154. Montant 218,45€ pièce</t>
        </r>
      </text>
    </comment>
    <comment ref="AD63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matériel pédagogique pour faire des formation moteur. </t>
        </r>
      </text>
    </comment>
    <comment ref="V67" authorId="0">
      <text>
        <r>
          <rPr>
            <b/>
            <sz val="9"/>
            <rFont val="Arial"/>
            <family val="2"/>
          </rPr>
          <t>Sophie Dellac:
TRANSFERT ARTF motorisation électrique evrs kit easyglider car MRC n'a plus de stock
.
Commande à Multiplex le 14/10/20154. Montant 218,45€ pièce</t>
        </r>
        <r>
          <rPr>
            <sz val="9"/>
            <rFont val="Arial"/>
            <family val="2"/>
          </rPr>
          <t xml:space="preserve">
</t>
        </r>
      </text>
    </comment>
    <comment ref="AD69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Achat de taffetas, résine epoxy, micro ballon...</t>
        </r>
      </text>
    </comment>
    <comment ref="AD74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vidéoprojecteur</t>
        </r>
      </text>
    </comment>
    <comment ref="O81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SANS RADIO</t>
        </r>
      </text>
    </comment>
    <comment ref="AD81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radio DC sépcifique personnes handicapées</t>
        </r>
      </text>
    </comment>
    <comment ref="AD82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Altimètre F5J</t>
        </r>
      </text>
    </comment>
    <comment ref="AD83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Altimètre F5J</t>
        </r>
      </text>
    </comment>
    <comment ref="AD84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chronométrage spécifique VCC</t>
        </r>
      </text>
    </comment>
    <comment ref="AD85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altimètreFf5J</t>
        </r>
      </text>
    </comment>
    <comment ref="AD86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planeur école type Epsilon</t>
        </r>
      </text>
    </comment>
  </commentList>
</comments>
</file>

<file path=xl/comments9.xml><?xml version="1.0" encoding="utf-8"?>
<comments xmlns="http://schemas.openxmlformats.org/spreadsheetml/2006/main">
  <authors>
    <author>Sophie Dellac</author>
  </authors>
  <commentList>
    <comment ref="AD22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Equipement accus et altimètre pour réaliser un remorqueur pour la formation planeur remorqué</t>
        </r>
      </text>
    </comment>
    <comment ref="AD23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1 moteur + 1 controleur pour équiper 1 ipanema</t>
        </r>
      </text>
    </comment>
    <comment ref="M40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sans la radio</t>
        </r>
      </text>
    </comment>
    <comment ref="AD49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Récepter Futaba Fasst R 630</t>
        </r>
      </text>
    </comment>
    <comment ref="AB64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outillage: kit de découpe 12 pièces, micro serre joint </t>
        </r>
      </text>
    </comment>
    <comment ref="AB66" authorId="0">
      <text>
        <r>
          <rPr>
            <b/>
            <sz val="9"/>
            <rFont val="Arial"/>
            <family val="2"/>
          </rPr>
          <t>Sophie Dellac:</t>
        </r>
        <r>
          <rPr>
            <sz val="9"/>
            <rFont val="Arial"/>
            <family val="2"/>
          </rPr>
          <t xml:space="preserve">
Factures à la FFAM
report 2015</t>
        </r>
      </text>
    </comment>
  </commentList>
</comments>
</file>

<file path=xl/sharedStrings.xml><?xml version="1.0" encoding="utf-8"?>
<sst xmlns="http://schemas.openxmlformats.org/spreadsheetml/2006/main" count="1862" uniqueCount="716">
  <si>
    <t>Kit avion école</t>
  </si>
  <si>
    <t>Kit planeur école</t>
  </si>
  <si>
    <t>Moteur seul</t>
  </si>
  <si>
    <t>Autres</t>
  </si>
  <si>
    <t>Avion ARTF + moteur thermique + radio double commande</t>
  </si>
  <si>
    <t>Avion ARTF + moteur thermique</t>
  </si>
  <si>
    <t>Avion ARTF + radio double commande</t>
  </si>
  <si>
    <t>Avion à construire aile basse</t>
  </si>
  <si>
    <t>Avion à construire aile haute</t>
  </si>
  <si>
    <t>Park flyer EPP avec propulsion électrique</t>
  </si>
  <si>
    <t>Kit hélicoptère école complet</t>
  </si>
  <si>
    <t>ARTF avec motorisation électrique</t>
  </si>
  <si>
    <t>ARTF en mousse avec motorisation électrique</t>
  </si>
  <si>
    <t>A construire avec motorisation électrique</t>
  </si>
  <si>
    <t>Thermique 2 temps de 6,5 cc</t>
  </si>
  <si>
    <t>Thermique 4 temps de 8,5 cc</t>
  </si>
  <si>
    <t>Simulateur de vol</t>
  </si>
  <si>
    <t>Lot de balsa</t>
  </si>
  <si>
    <t>Radio double commande</t>
  </si>
  <si>
    <t>Outillage</t>
  </si>
  <si>
    <t>Autres (préciser la demande sur note à joindre en précisant le club)</t>
  </si>
  <si>
    <t>CRAM</t>
  </si>
  <si>
    <t>Alsace</t>
  </si>
  <si>
    <t>Aquitaine</t>
  </si>
  <si>
    <t>Auvergne</t>
  </si>
  <si>
    <t>Basse Normandie</t>
  </si>
  <si>
    <t>Bourgogne</t>
  </si>
  <si>
    <t>Bretagne</t>
  </si>
  <si>
    <t>Centre</t>
  </si>
  <si>
    <t>Haute Normandie</t>
  </si>
  <si>
    <t>Ile de France</t>
  </si>
  <si>
    <t>Limousin</t>
  </si>
  <si>
    <t>Lorraine</t>
  </si>
  <si>
    <t>Midi Pyrénées</t>
  </si>
  <si>
    <t>Nord Pas de Calais</t>
  </si>
  <si>
    <t>P A C A Corse</t>
  </si>
  <si>
    <t>Pays Loire</t>
  </si>
  <si>
    <t>Picardie</t>
  </si>
  <si>
    <t>Poitou Charente</t>
  </si>
  <si>
    <t>Rhone Alpes</t>
  </si>
  <si>
    <t>DOM TOM</t>
  </si>
  <si>
    <t>Champagne Ardenne</t>
  </si>
  <si>
    <t>Corse</t>
  </si>
  <si>
    <t>Franche Comté</t>
  </si>
  <si>
    <t>Languedoc Roussillon</t>
  </si>
  <si>
    <t>Quantité par type</t>
  </si>
  <si>
    <t>Valorisation €</t>
  </si>
  <si>
    <t>Valorisation spécifique colonne Autre</t>
  </si>
  <si>
    <t>Moteur Zenoah 26 cc - Prix catalogue Weymuller</t>
  </si>
  <si>
    <t xml:space="preserve">   Anémomètre (100 € chez Conrad) + Sonomètre (30 € FFAM) + manche à Air (18 e FFAM)</t>
  </si>
  <si>
    <t xml:space="preserve">   FFAM</t>
  </si>
  <si>
    <t>Fournisseur</t>
  </si>
  <si>
    <t>Avio &amp; Tiger</t>
  </si>
  <si>
    <t>Stock FFAM</t>
  </si>
  <si>
    <t>MRC</t>
  </si>
  <si>
    <t>Multiplex</t>
  </si>
  <si>
    <t>Présentation facture</t>
  </si>
  <si>
    <t>Multiples fournisseurs</t>
  </si>
  <si>
    <t>Nombre de clubs dotés</t>
  </si>
  <si>
    <t>Scientific F</t>
  </si>
  <si>
    <t>FFAM + Scientific</t>
  </si>
  <si>
    <t>Dotations en matériels 2009</t>
  </si>
  <si>
    <t>Dotation 2010</t>
  </si>
  <si>
    <t>Nb de clubs dans le CRAM en 2009</t>
  </si>
  <si>
    <t>NB de clubs dotés dans le CRAM</t>
  </si>
  <si>
    <t>% de clubs dotés dans le CRAM</t>
  </si>
  <si>
    <t>Valorisation produit</t>
  </si>
  <si>
    <t>CRAM 3001 Alsace</t>
  </si>
  <si>
    <t>CRAM 3002 Aquitaine</t>
  </si>
  <si>
    <t>CRAM 3003 Auvergne</t>
  </si>
  <si>
    <t>CRAM 3004 Bourgogne</t>
  </si>
  <si>
    <t>CRAM 3005 Bretagne</t>
  </si>
  <si>
    <t>CRAM 3006 Centre</t>
  </si>
  <si>
    <t>Avions Mentor avec équipements</t>
  </si>
  <si>
    <t>CRAM Champagne Ardennes</t>
  </si>
  <si>
    <t>CRAM Franche Comté</t>
  </si>
  <si>
    <t>CRAM Languedoc Roussillon</t>
  </si>
  <si>
    <t>CRAM 3011 Limousin</t>
  </si>
  <si>
    <t>CRAM 12 LORRAINE</t>
  </si>
  <si>
    <t>CRAM Midi Pyrénées</t>
  </si>
  <si>
    <t>CRAM 3014 Nord-Pas de Calais</t>
  </si>
  <si>
    <t>CRAM Basse Normandie</t>
  </si>
  <si>
    <t>CRAM 3016 Haute Normandie</t>
  </si>
  <si>
    <t>CRAM 3017 Pays de la Loire</t>
  </si>
  <si>
    <t>CRAM 3018 Picardie</t>
  </si>
  <si>
    <t>CRAM Poitou Charentes</t>
  </si>
  <si>
    <t>Sandow FF 2000</t>
  </si>
  <si>
    <t>CRAM 3020 Corse et PACA</t>
  </si>
  <si>
    <t>CRAM 3021 Rhone Alpes</t>
  </si>
  <si>
    <t>CRAM Ile de France</t>
  </si>
  <si>
    <t>Hélico birotor</t>
  </si>
  <si>
    <t>Radio hélico</t>
  </si>
  <si>
    <t>Valorisation globale €</t>
  </si>
  <si>
    <t>Dotation exceptionnelle fin  2010</t>
  </si>
  <si>
    <t>ABC</t>
  </si>
  <si>
    <t>AB</t>
  </si>
  <si>
    <t>AC</t>
  </si>
  <si>
    <t>D</t>
  </si>
  <si>
    <t>E</t>
  </si>
  <si>
    <t>F</t>
  </si>
  <si>
    <t>G</t>
  </si>
  <si>
    <t>H</t>
  </si>
  <si>
    <t>I</t>
  </si>
  <si>
    <t>J</t>
  </si>
  <si>
    <t>B</t>
  </si>
  <si>
    <t>K</t>
  </si>
  <si>
    <t>L</t>
  </si>
  <si>
    <t>M</t>
  </si>
  <si>
    <t>C</t>
  </si>
  <si>
    <t>N</t>
  </si>
  <si>
    <t>O</t>
  </si>
  <si>
    <t>CRAM DOM TOM</t>
  </si>
  <si>
    <t>CRAM 3007 Champagne Ard.</t>
  </si>
  <si>
    <t>CRAM 3009 Franche Comté</t>
  </si>
  <si>
    <t>CRAM 3010 Languedoc Rous.</t>
  </si>
  <si>
    <t>CRAM 12 Lorraine</t>
  </si>
  <si>
    <t>CRAM 3013 Midi Pyrénées</t>
  </si>
  <si>
    <t>CRAM 3015 Basse Normandie</t>
  </si>
  <si>
    <t>CRAM 3019 Poitou Charentes</t>
  </si>
  <si>
    <t>Nb clubs en 2010</t>
  </si>
  <si>
    <t xml:space="preserve">% clubs par CRAM </t>
  </si>
  <si>
    <t>Nb clubs dotés</t>
  </si>
  <si>
    <t>% clubs 
dotés
 dans le CRAM</t>
  </si>
  <si>
    <t>Total dotation en 
euros / 
CRAM</t>
  </si>
  <si>
    <t xml:space="preserve">% montant par CRAM </t>
  </si>
  <si>
    <t>Kit hélicoptère
 école complet</t>
  </si>
  <si>
    <t>Simulateur 
de vol</t>
  </si>
  <si>
    <t>Avion ARTF + 
radio double commande</t>
  </si>
  <si>
    <t>ERREUR KIT AVION ECOLE</t>
  </si>
  <si>
    <t>FOURNISSEURS</t>
  </si>
  <si>
    <t>FDL + T2M + AVIO</t>
  </si>
  <si>
    <t>FDL + AVIO</t>
  </si>
  <si>
    <t>FDL + T2M</t>
  </si>
  <si>
    <t>SF</t>
  </si>
  <si>
    <t>FFAM</t>
  </si>
  <si>
    <t>MULTIPLEX</t>
  </si>
  <si>
    <t>T2M</t>
  </si>
  <si>
    <t>AVIO</t>
  </si>
  <si>
    <t>Valorisation
 produit</t>
  </si>
  <si>
    <t>3000 DOM TOM</t>
  </si>
  <si>
    <t>3001 Alsace</t>
  </si>
  <si>
    <t>3002 Aquitaine</t>
  </si>
  <si>
    <t>3003 Auvergne</t>
  </si>
  <si>
    <t>3004 Bourgogne</t>
  </si>
  <si>
    <t>3005 Bretagne</t>
  </si>
  <si>
    <t xml:space="preserve"> 3006 Centre</t>
  </si>
  <si>
    <t>3007 Champagne Ardennes</t>
  </si>
  <si>
    <t>3009 Franche Comté</t>
  </si>
  <si>
    <t>3010 Languedoc Roussillon</t>
  </si>
  <si>
    <t>3011 Limousin</t>
  </si>
  <si>
    <t>3012 Lorraine</t>
  </si>
  <si>
    <t>3013 Midi Pyrénées</t>
  </si>
  <si>
    <t>3014 Nord-Pas de Calais</t>
  </si>
  <si>
    <t>3015  Basse Normandie</t>
  </si>
  <si>
    <t>3016 Haute Normandie</t>
  </si>
  <si>
    <t>3017 Pays de la Loire</t>
  </si>
  <si>
    <t>3018 Picardie</t>
  </si>
  <si>
    <t>3019 Poitou Charentes</t>
  </si>
  <si>
    <t>3020 Corse et PACA</t>
  </si>
  <si>
    <t>3021 Rhone Alpes</t>
  </si>
  <si>
    <t>3022 Ile de France</t>
  </si>
  <si>
    <t>Total</t>
  </si>
  <si>
    <t>Nb clubs en 2011</t>
  </si>
  <si>
    <t xml:space="preserve"> montant
euros/
nb clubs
</t>
  </si>
  <si>
    <t>Park flyer EPP avec propulsion électrique + radio double commande</t>
  </si>
  <si>
    <t xml:space="preserve">Park flyer EPP avec propulsion électrique </t>
  </si>
  <si>
    <t>ARTF en mousse EPP avec motorisation électrique</t>
  </si>
  <si>
    <t>AVIO + FDL + T2M</t>
  </si>
  <si>
    <t>TOPMODEL</t>
  </si>
  <si>
    <t>075</t>
  </si>
  <si>
    <t>006</t>
  </si>
  <si>
    <t>962</t>
  </si>
  <si>
    <t>%</t>
  </si>
  <si>
    <t>060</t>
  </si>
  <si>
    <t>Nb clubs en 2012</t>
  </si>
  <si>
    <t xml:space="preserve"> Avion ARTF + propulsion électrique + radio double commande</t>
  </si>
  <si>
    <t>Modèle thermique</t>
  </si>
  <si>
    <t>Modèle Electrique</t>
  </si>
  <si>
    <t>ARTF en mousse EPP avec motorisation électrique + radio double cde</t>
  </si>
  <si>
    <t>AVIO TIGER + T2M</t>
  </si>
  <si>
    <t>AVIO TIGER</t>
  </si>
  <si>
    <t>TOPMODEL + AVIO</t>
  </si>
  <si>
    <t>SCIENTIFIC FCE</t>
  </si>
  <si>
    <t xml:space="preserve">SCIENTIFIC </t>
  </si>
  <si>
    <t xml:space="preserve">FFAM + AVIO </t>
  </si>
  <si>
    <t>FLASH RC</t>
  </si>
  <si>
    <t>MULTIPLEX + AVIO</t>
  </si>
  <si>
    <t>627</t>
  </si>
  <si>
    <t>Nb clubs en 2013</t>
  </si>
  <si>
    <t>Avion ARTF + moteur
 thermique</t>
  </si>
  <si>
    <t>Park flyer EPP
 avec propulsion électrique + radio double commande</t>
  </si>
  <si>
    <t>Pupitre
Radio Futaba 6JG</t>
  </si>
  <si>
    <t>MRC + T2M + AVIO TIGER</t>
  </si>
  <si>
    <t>MRC + AVIO TIGER</t>
  </si>
  <si>
    <t>MRC + T2M</t>
  </si>
  <si>
    <t>TOPMODEL + AVIO TIGER</t>
  </si>
  <si>
    <t>FFAM + AVIO ET TIGER</t>
  </si>
  <si>
    <t>AVIO ET TIGER</t>
  </si>
  <si>
    <t>175</t>
  </si>
  <si>
    <t>236</t>
  </si>
  <si>
    <t>1552</t>
  </si>
  <si>
    <t>Nb clubs en 2014</t>
  </si>
  <si>
    <t>MRC + T2M + AVIO ET TIGER</t>
  </si>
  <si>
    <t>MRC + AVIO ET TIGER</t>
  </si>
  <si>
    <t>TOPMODEL + AVIO ET TIGER</t>
  </si>
  <si>
    <t>MULTIPLEX + AVIO ET TIGER</t>
  </si>
  <si>
    <t>1579</t>
  </si>
  <si>
    <t xml:space="preserve">Park flyer EPP
 avec propulsion électrique </t>
  </si>
  <si>
    <t>Avion ARTF</t>
  </si>
  <si>
    <t>Thermique 2 temps de 7,5 cc</t>
  </si>
  <si>
    <t>Nb clubs en 2015</t>
  </si>
  <si>
    <t>Avion ARTF + 
moteur thermique</t>
  </si>
  <si>
    <t xml:space="preserve"> Avion ARTF  </t>
  </si>
  <si>
    <t xml:space="preserve">MRC + T2M </t>
  </si>
  <si>
    <t xml:space="preserve">MRC </t>
  </si>
  <si>
    <t>MRC+ AVIO ET TIGER</t>
  </si>
  <si>
    <t xml:space="preserve">FFAM </t>
  </si>
  <si>
    <t>162</t>
  </si>
  <si>
    <t>LAM</t>
  </si>
  <si>
    <t>Nb clubs en 2016</t>
  </si>
  <si>
    <t>% clubs par LAM</t>
  </si>
  <si>
    <t>% clubs 
dotés
 dans la LAM</t>
  </si>
  <si>
    <t>Total dotation en 
euros / 
LAM</t>
  </si>
  <si>
    <t>% montant par LAM</t>
  </si>
  <si>
    <t xml:space="preserve"> Avion ARTF
</t>
  </si>
  <si>
    <t xml:space="preserve"> (préciser la demande sur note à joindre en précisant le club)</t>
  </si>
  <si>
    <t>MRC + T2M  + AVIO T</t>
  </si>
  <si>
    <t>MRC + AVIO</t>
  </si>
  <si>
    <t>Topmodel + AVIO ET TIGER</t>
  </si>
  <si>
    <t>LAM AURA</t>
  </si>
  <si>
    <t>LAM BFC</t>
  </si>
  <si>
    <t>LAM BRE</t>
  </si>
  <si>
    <t>LAM COR</t>
  </si>
  <si>
    <t>LAM CVL</t>
  </si>
  <si>
    <t>LAM GE</t>
  </si>
  <si>
    <t>424</t>
  </si>
  <si>
    <t>477</t>
  </si>
  <si>
    <t>LAM HDF</t>
  </si>
  <si>
    <t>LAM IF</t>
  </si>
  <si>
    <t>LAM NA</t>
  </si>
  <si>
    <t>LAM NOR</t>
  </si>
  <si>
    <t>LAM OCC</t>
  </si>
  <si>
    <t>1616</t>
  </si>
  <si>
    <t>LAM PACA</t>
  </si>
  <si>
    <t>LAM PDL</t>
  </si>
  <si>
    <t>Nb clubs en 2018</t>
  </si>
  <si>
    <t>Avion école</t>
  </si>
  <si>
    <t>Planeur école</t>
  </si>
  <si>
    <t>Vol Libre</t>
  </si>
  <si>
    <t>FPV</t>
  </si>
  <si>
    <t>Vol intérieur</t>
  </si>
  <si>
    <t>Polyclub complet sans radio</t>
  </si>
  <si>
    <t>Avion seul modèle canary</t>
  </si>
  <si>
    <t>Avion seul Modèle Calmato
(suite rupture canary)</t>
  </si>
  <si>
    <t>moteur thermique</t>
  </si>
  <si>
    <t xml:space="preserve"> propulsion
 électrique </t>
  </si>
  <si>
    <t>ARTF en mousse EPP avec motorisation électrique 
Easygldier Pro RR</t>
  </si>
  <si>
    <t>PEE WEE</t>
  </si>
  <si>
    <t>BALISES
Icare 2</t>
  </si>
  <si>
    <t>(T-REX électrique)</t>
  </si>
  <si>
    <t>Kit Wizard 
X220</t>
  </si>
  <si>
    <t>Clik</t>
  </si>
  <si>
    <t>Thermique 2 temps de 7,5 cc
OS 46 AX</t>
  </si>
  <si>
    <t>Real 
Flight</t>
  </si>
  <si>
    <t>Real flight 8
(multirotor)</t>
  </si>
  <si>
    <t>WEYMULLER</t>
  </si>
  <si>
    <t>IKARA</t>
  </si>
  <si>
    <t>OPTIMALTRACKING</t>
  </si>
  <si>
    <t>483</t>
  </si>
  <si>
    <t>LAM PL</t>
  </si>
  <si>
    <t>Nb clubs en 2019</t>
  </si>
  <si>
    <t xml:space="preserve"> montant
euros/
nb clubs dotés
</t>
  </si>
  <si>
    <t>Kit Racer</t>
  </si>
  <si>
    <t>Avion seul modèle Calmato 
aile basse</t>
  </si>
  <si>
    <t>Avion seul modèle Calmato 
aile haute</t>
  </si>
  <si>
    <t>Durafly</t>
  </si>
  <si>
    <t>Guix Model</t>
  </si>
  <si>
    <t>Lindinger</t>
  </si>
  <si>
    <t>Flash RC</t>
  </si>
  <si>
    <t>Weymuller</t>
  </si>
  <si>
    <t>Hobby King</t>
  </si>
  <si>
    <t>Avio et Tiger</t>
  </si>
  <si>
    <t>Nb clubs en 2020</t>
  </si>
  <si>
    <t>Sweet P30</t>
  </si>
  <si>
    <t>Trousse à outils</t>
  </si>
  <si>
    <t>Nombre de clubs dotés 2020</t>
  </si>
  <si>
    <t>Nb clubs en 2021</t>
  </si>
  <si>
    <t>Aurora + motorisation électrique  hélice</t>
  </si>
  <si>
    <t>Aurora + motorisation  thermique + hélice</t>
  </si>
  <si>
    <t>ARTF en mousse EPP avec motorisation électrique 
Easygldier 4 RR</t>
  </si>
  <si>
    <t>(T-REX Align 500 électrique)</t>
  </si>
  <si>
    <t>Clik 21</t>
  </si>
  <si>
    <t>Fun Racer RR</t>
  </si>
  <si>
    <t>Intermodel</t>
  </si>
  <si>
    <t>Divers</t>
  </si>
  <si>
    <t>lot balsa transféré en autres (Super clown - VCC)</t>
  </si>
  <si>
    <t>698 x 2</t>
  </si>
  <si>
    <t>Demande 2 trousses à outils</t>
  </si>
  <si>
    <t>Montant total dotations 2021</t>
  </si>
  <si>
    <t xml:space="preserve">Montant Voté en AG </t>
  </si>
  <si>
    <t>40 000€</t>
  </si>
  <si>
    <t>N°Structure</t>
  </si>
  <si>
    <t>Nom structure</t>
  </si>
  <si>
    <t>N°Ligue</t>
  </si>
  <si>
    <t>N° CDAM</t>
  </si>
  <si>
    <t>Année civile</t>
  </si>
  <si>
    <t>0002</t>
  </si>
  <si>
    <t>AERO CLUB DE BELVES PERIGORD</t>
  </si>
  <si>
    <t>LAMNA</t>
  </si>
  <si>
    <t>DEPT024</t>
  </si>
  <si>
    <t>Kit easyglider</t>
  </si>
  <si>
    <t>0003</t>
  </si>
  <si>
    <t>ASSO. AERO. DU BASSIN DE LA SAMBRE</t>
  </si>
  <si>
    <t>LAMHDF</t>
  </si>
  <si>
    <t>CDAM059</t>
  </si>
  <si>
    <t>Avion type calmato aile haute + moteur thermique</t>
  </si>
  <si>
    <t>0004</t>
  </si>
  <si>
    <t>SAINT FARGEAU PONTHIERRY A. M.</t>
  </si>
  <si>
    <t>LAMIF</t>
  </si>
  <si>
    <t>DEPT077</t>
  </si>
  <si>
    <t>Propulsion électrique</t>
  </si>
  <si>
    <t>0005</t>
  </si>
  <si>
    <t>AERO MODEL CLUB DE LOGNES</t>
  </si>
  <si>
    <t>Avion seul modèle Calmato aile haute + propulsion électrique</t>
  </si>
  <si>
    <t>0006</t>
  </si>
  <si>
    <t>ILLIERS COMBRAY ASTRO AERO. R.C. 28</t>
  </si>
  <si>
    <t>LAMCVL</t>
  </si>
  <si>
    <t>DEPT028</t>
  </si>
  <si>
    <t>radio 6K</t>
  </si>
  <si>
    <t>0007</t>
  </si>
  <si>
    <t>AERO CLUB DE ROUEN NORMANDIE</t>
  </si>
  <si>
    <t>LAMNOR</t>
  </si>
  <si>
    <t>DEPT076</t>
  </si>
  <si>
    <t>Moteur thermique + radio double commande</t>
  </si>
  <si>
    <t>0019</t>
  </si>
  <si>
    <t>MODELE AIR CLUB LENS BENIFONTAINE</t>
  </si>
  <si>
    <t>CDAM062</t>
  </si>
  <si>
    <t>0020</t>
  </si>
  <si>
    <t>MODEL CLUB AREDIEN</t>
  </si>
  <si>
    <t>DEPT087</t>
  </si>
  <si>
    <t>0027</t>
  </si>
  <si>
    <t>MODEL ARVERT CLUB 17</t>
  </si>
  <si>
    <t>CDAM017</t>
  </si>
  <si>
    <t>0035</t>
  </si>
  <si>
    <t>AEROMODELES CLUB DU RHONE</t>
  </si>
  <si>
    <t>LAMAURA</t>
  </si>
  <si>
    <t>DEPT069</t>
  </si>
  <si>
    <t>0049</t>
  </si>
  <si>
    <t>ASS. GARDOISE D AEROMODELISME</t>
  </si>
  <si>
    <t>LAMOCC</t>
  </si>
  <si>
    <t>DEPT030</t>
  </si>
  <si>
    <t>Kit polyclub</t>
  </si>
  <si>
    <t>0064</t>
  </si>
  <si>
    <t>ASS. M. DES VALLEES DE LA LOMAGNE</t>
  </si>
  <si>
    <t>CDAM082</t>
  </si>
  <si>
    <t>Avion clik 21</t>
  </si>
  <si>
    <t>0175</t>
  </si>
  <si>
    <t>R.C.M.C. ORLEANAIS</t>
  </si>
  <si>
    <t>DEPT045</t>
  </si>
  <si>
    <t>0400</t>
  </si>
  <si>
    <t>ASS. S.C. DE PESSAC ALOUETTE</t>
  </si>
  <si>
    <t>DEPT033</t>
  </si>
  <si>
    <t>0432</t>
  </si>
  <si>
    <t>CLUB AEROMODELISME DE MORLAIX</t>
  </si>
  <si>
    <t>LAMBRE</t>
  </si>
  <si>
    <t>DEPT029</t>
  </si>
  <si>
    <t>0552</t>
  </si>
  <si>
    <t>CLUB AERO-MOD. DU PAYS DE VILAINE</t>
  </si>
  <si>
    <t>LAMPL</t>
  </si>
  <si>
    <t>CDAM044</t>
  </si>
  <si>
    <t>0797</t>
  </si>
  <si>
    <t>AERO&amp;NAUTIQUE MODELE CLUB BRYARD</t>
  </si>
  <si>
    <t>DEPT094</t>
  </si>
  <si>
    <t>AERO CLUB LES VANNEAUX</t>
  </si>
  <si>
    <t>CDAM042</t>
  </si>
  <si>
    <t>0970</t>
  </si>
  <si>
    <t>LES VAUTOURS DE SARREGUEMINES</t>
  </si>
  <si>
    <t>LAMGE</t>
  </si>
  <si>
    <t>CDAM057</t>
  </si>
  <si>
    <t>Avion clik 21+ radio double commande</t>
  </si>
  <si>
    <t>0134</t>
  </si>
  <si>
    <t>MODEL'S CLUB ALBIGEOIS</t>
  </si>
  <si>
    <t>CDAM081</t>
  </si>
  <si>
    <t>Avion type calmato aile basse</t>
  </si>
  <si>
    <t>0148</t>
  </si>
  <si>
    <t>LES TETES BRULEES</t>
  </si>
  <si>
    <t>DEPT088</t>
  </si>
  <si>
    <t>0294</t>
  </si>
  <si>
    <t>CLUB AEROMODELISTE CALVISSONNAIS</t>
  </si>
  <si>
    <t>0442</t>
  </si>
  <si>
    <t>AERO CLUB JEAN MERMOZ</t>
  </si>
  <si>
    <t>LAMBFC</t>
  </si>
  <si>
    <t>CDAM090</t>
  </si>
  <si>
    <t>0597</t>
  </si>
  <si>
    <t>LES AMIS MODELISTES D ARLES</t>
  </si>
  <si>
    <t>LAMPACA</t>
  </si>
  <si>
    <t>DEPT013</t>
  </si>
  <si>
    <t>0601</t>
  </si>
  <si>
    <t>MODEL AIR CLUB DE L HERAULT</t>
  </si>
  <si>
    <t>CDAM034</t>
  </si>
  <si>
    <t>0790</t>
  </si>
  <si>
    <t>AERO-PORTI</t>
  </si>
  <si>
    <t>AERO RC LINXE</t>
  </si>
  <si>
    <t>CDAM040</t>
  </si>
  <si>
    <t>0467</t>
  </si>
  <si>
    <t>CA DE L'AGGLOMERA. PALOISE-CAAP 64</t>
  </si>
  <si>
    <t>DEPT064</t>
  </si>
  <si>
    <t>Avion type calmato aile basse + moteur thermique</t>
  </si>
  <si>
    <t>0617</t>
  </si>
  <si>
    <t>AERO MODEL CLUB JEAN MERMOZ</t>
  </si>
  <si>
    <t>DEPT068</t>
  </si>
  <si>
    <t>0681</t>
  </si>
  <si>
    <t>BERRY MARCHE MODELISME (B2M)</t>
  </si>
  <si>
    <t>DEPT023</t>
  </si>
  <si>
    <t>0700</t>
  </si>
  <si>
    <t>ASS. R. M. DES BORDS DE LOIRE</t>
  </si>
  <si>
    <t>Avion type calmato aile basse + propulsion électrique</t>
  </si>
  <si>
    <t>0851</t>
  </si>
  <si>
    <t>CERCLE MODELISTE RULLICOIS</t>
  </si>
  <si>
    <t>CDAM086</t>
  </si>
  <si>
    <t>0387</t>
  </si>
  <si>
    <t>KALLISTE MODEL CLUB</t>
  </si>
  <si>
    <t>LAMCOR</t>
  </si>
  <si>
    <t>DEPT020B</t>
  </si>
  <si>
    <t>Avion type calmato aile basse + radio double commande</t>
  </si>
  <si>
    <t>0340</t>
  </si>
  <si>
    <t>RADIO MODEL CLUB DE VINEUIL</t>
  </si>
  <si>
    <t>DEPT041</t>
  </si>
  <si>
    <t>0338</t>
  </si>
  <si>
    <t>MODEL CLUB CAHORS LALBENQUE</t>
  </si>
  <si>
    <t>DEPT046</t>
  </si>
  <si>
    <t>Avion seul modèle Calmato aile haute</t>
  </si>
  <si>
    <t>0555</t>
  </si>
  <si>
    <t>LES AILES DE LA DRONNE</t>
  </si>
  <si>
    <t>0682</t>
  </si>
  <si>
    <t>LES MOUETTES RIEUSES</t>
  </si>
  <si>
    <t>0879</t>
  </si>
  <si>
    <t>C. M. CERGY PONTOISE</t>
  </si>
  <si>
    <t>DEPT095</t>
  </si>
  <si>
    <t>0060</t>
  </si>
  <si>
    <t>LES HELICES DE LIRONVILLE</t>
  </si>
  <si>
    <t>DEPT054</t>
  </si>
  <si>
    <t>Avion seul modèle Calmato aile haute + moteur thermique</t>
  </si>
  <si>
    <t>0113</t>
  </si>
  <si>
    <t>PEGASE AIR CLUB CARSPACH</t>
  </si>
  <si>
    <t>0135</t>
  </si>
  <si>
    <t>AERO CLUB DE L OCHSENFELD</t>
  </si>
  <si>
    <t>0214</t>
  </si>
  <si>
    <t>STRASBOURG-PLOBSHEIM MODEL CLUB</t>
  </si>
  <si>
    <t>CDAM067</t>
  </si>
  <si>
    <t>0370</t>
  </si>
  <si>
    <t>LES FOUS VOLANTS DE AIRE</t>
  </si>
  <si>
    <t>DEPT008</t>
  </si>
  <si>
    <t>0393</t>
  </si>
  <si>
    <t>AERO CLUB DE BRUMATH</t>
  </si>
  <si>
    <t>0607</t>
  </si>
  <si>
    <t>AERO MODEL CLUB DE SAINT OMER</t>
  </si>
  <si>
    <t>0662</t>
  </si>
  <si>
    <t>AEROCLUB DE LA MORTAGNE LUNEVILLE</t>
  </si>
  <si>
    <t>0861</t>
  </si>
  <si>
    <t>ASS. MODELISTE LE GRAOUILLY</t>
  </si>
  <si>
    <t>CLUB AEROMODELISME MOSELLE ET MADON</t>
  </si>
  <si>
    <t>AERO MODELE CLUB CHALLANDAIS (AM2C)</t>
  </si>
  <si>
    <t>DEPT085</t>
  </si>
  <si>
    <t>0371</t>
  </si>
  <si>
    <t>AEROMODELISME CENTRE CORSE</t>
  </si>
  <si>
    <t>Avion seul modèle Calmato aile haute + moteur thermique + radio double commande</t>
  </si>
  <si>
    <t>0430</t>
  </si>
  <si>
    <t>CLUB D AERO MODELISME PASSION</t>
  </si>
  <si>
    <t>CDAM027</t>
  </si>
  <si>
    <t>0506</t>
  </si>
  <si>
    <t>ASS. BAYEUSAINE DE MODELISME</t>
  </si>
  <si>
    <t>DEPT014</t>
  </si>
  <si>
    <t>Avion seul modèle Calmato aile haute + moteur thermique + radio double commande
Boomerang avec motorisation électrique (en supplément)</t>
  </si>
  <si>
    <t>0670</t>
  </si>
  <si>
    <t>AÉROMODÉLISME DE VARÈS</t>
  </si>
  <si>
    <t>CDAM047</t>
  </si>
  <si>
    <t>0699</t>
  </si>
  <si>
    <t>LES AILES D ETAGNAC</t>
  </si>
  <si>
    <t>DEPT016</t>
  </si>
  <si>
    <t>0792</t>
  </si>
  <si>
    <t>AERO MODELE CLUB ARMORICAIN</t>
  </si>
  <si>
    <t>DEPT022</t>
  </si>
  <si>
    <t>0987</t>
  </si>
  <si>
    <t>ASSOCIATION MODELISTE DE LA VALLEE DE LA BRESLE NORMANDIE PICARDIE</t>
  </si>
  <si>
    <t>0390</t>
  </si>
  <si>
    <t>AMC DE MONTOIR DE BRETAGNE</t>
  </si>
  <si>
    <t>0546</t>
  </si>
  <si>
    <t>M. A. C. COMMANDANT TULASNE</t>
  </si>
  <si>
    <t>CDAM037</t>
  </si>
  <si>
    <t>0547</t>
  </si>
  <si>
    <t>AERO MODEL CLUB DES GYPAETES</t>
  </si>
  <si>
    <t>DEPT074</t>
  </si>
  <si>
    <t>CLUB AEROMODELISME DE MASSONGY</t>
  </si>
  <si>
    <t>0190</t>
  </si>
  <si>
    <t>LES AILES D AZUR MANDELIEU</t>
  </si>
  <si>
    <t>DEPT006</t>
  </si>
  <si>
    <t>Avion seul modèle Calmato aile haute + propulsion électrique + radio double commande</t>
  </si>
  <si>
    <t>0821</t>
  </si>
  <si>
    <t>CLUB RADIO MODELISTE AIGLON</t>
  </si>
  <si>
    <t>DEPT061</t>
  </si>
  <si>
    <t>ABBEVILLE-DRUCAT CLUB AÉROMODÉLISME</t>
  </si>
  <si>
    <t>DEPT080</t>
  </si>
  <si>
    <t>Avion seul modèle Calmato aile haute + radio double commande</t>
  </si>
  <si>
    <t>0186</t>
  </si>
  <si>
    <t>AZUR ROTOR CLUB</t>
  </si>
  <si>
    <t>DEPT083</t>
  </si>
  <si>
    <t>Kit drone</t>
  </si>
  <si>
    <t>0304</t>
  </si>
  <si>
    <t>ACY MODELISME</t>
  </si>
  <si>
    <t>0800</t>
  </si>
  <si>
    <t>LEYLICO</t>
  </si>
  <si>
    <t>DEPT001</t>
  </si>
  <si>
    <t>AIRXQUAD (RXQ)</t>
  </si>
  <si>
    <t>DEPT026</t>
  </si>
  <si>
    <t>0168</t>
  </si>
  <si>
    <t>AERO MODELE CLUB DE LA GAUDE</t>
  </si>
  <si>
    <t>0170</t>
  </si>
  <si>
    <t>ALBATROS MODEL'CLUB RAMBOUILLET</t>
  </si>
  <si>
    <t>CDAM078</t>
  </si>
  <si>
    <t>0193</t>
  </si>
  <si>
    <t>CLUB MODELISME DE LA LOMAGNE</t>
  </si>
  <si>
    <t>DEPT032</t>
  </si>
  <si>
    <t>0248</t>
  </si>
  <si>
    <t>C. A. LES COURLIS MEISTRATZHEIM</t>
  </si>
  <si>
    <t>0280</t>
  </si>
  <si>
    <t>BAILLARGUES AEROMODELISME CLUB</t>
  </si>
  <si>
    <t>0321</t>
  </si>
  <si>
    <t>ASSO. DES AEROMODELISTES LUNELLOIS</t>
  </si>
  <si>
    <t>0334</t>
  </si>
  <si>
    <t>MODELCLUBVELLAVE</t>
  </si>
  <si>
    <t>DEPT043</t>
  </si>
  <si>
    <t>0475</t>
  </si>
  <si>
    <t>M. C. ROUSSILLONNAIS AGNITAIRE</t>
  </si>
  <si>
    <t>DEPT038</t>
  </si>
  <si>
    <t>0618</t>
  </si>
  <si>
    <t>AEROMODELISME CLUB TYROSSAIS</t>
  </si>
  <si>
    <t>0620</t>
  </si>
  <si>
    <t>AERO MODEL CLUB 77</t>
  </si>
  <si>
    <t>0646</t>
  </si>
  <si>
    <t>AERO MODEL CLUB DES AIGLES CATHARES</t>
  </si>
  <si>
    <t>DEPT009</t>
  </si>
  <si>
    <t>0727</t>
  </si>
  <si>
    <t>CLUB MODELISME DE GRAUVES</t>
  </si>
  <si>
    <t>DEPT051</t>
  </si>
  <si>
    <t>0753</t>
  </si>
  <si>
    <t>VIC AERO MODELES</t>
  </si>
  <si>
    <t>0755</t>
  </si>
  <si>
    <t>MODELE AIR CLUB DE CANNES</t>
  </si>
  <si>
    <t>0805</t>
  </si>
  <si>
    <t>LES COUCOUS DE TRIAUCOURT</t>
  </si>
  <si>
    <t>DEPT055</t>
  </si>
  <si>
    <t>0895</t>
  </si>
  <si>
    <t>ASSOCIATION DES MODÉLISTES BRIGNOLAIS</t>
  </si>
  <si>
    <t>0958</t>
  </si>
  <si>
    <t>AIR MODELES CLUB ROMORANTIN</t>
  </si>
  <si>
    <t>0973</t>
  </si>
  <si>
    <t>MODEL AIR CLUB DU BEAUJOLAIS</t>
  </si>
  <si>
    <t>LES AILES DU CAUSSE LOTOIS</t>
  </si>
  <si>
    <t>AEROMODELISME CLUB DE VOUTEZAC</t>
  </si>
  <si>
    <t>CDAM019</t>
  </si>
  <si>
    <t>AERO MODEL CLUB DOMPIERROIS</t>
  </si>
  <si>
    <t>PEGASE AEROMODELISME</t>
  </si>
  <si>
    <t>LES AILES SILENCIEUSES DES HAUTES-VOSGES</t>
  </si>
  <si>
    <t>0150</t>
  </si>
  <si>
    <t>AERO CLUB DE DINAN - SECTION MOD</t>
  </si>
  <si>
    <t>Kit easyglider + radio double commande</t>
  </si>
  <si>
    <t>0364</t>
  </si>
  <si>
    <t>BREUILPONT MODELES AIR CLUB (B.M.A.C.)</t>
  </si>
  <si>
    <t>0441</t>
  </si>
  <si>
    <t>LES AILES DE CORMEILLES EN PARISIS</t>
  </si>
  <si>
    <t>Kit hélicoptère</t>
  </si>
  <si>
    <t>0767</t>
  </si>
  <si>
    <t>AERO MODELE CLUB DES YVELINES</t>
  </si>
  <si>
    <t>0822</t>
  </si>
  <si>
    <t>AERO CLUB JEAN BERTIN</t>
  </si>
  <si>
    <t>0955</t>
  </si>
  <si>
    <t>AERO MODEL CLUB DU HAVRE</t>
  </si>
  <si>
    <t>TEAM AERO PASSION</t>
  </si>
  <si>
    <t>0388</t>
  </si>
  <si>
    <t>AERO MODELE CLUB DE LA COTE D OR</t>
  </si>
  <si>
    <t>DEPT021</t>
  </si>
  <si>
    <t>Kit Olympus + motorisation électrique</t>
  </si>
  <si>
    <t>0414</t>
  </si>
  <si>
    <t>ASSOCIATION MODELISTE CAUDACIENNE</t>
  </si>
  <si>
    <t>0070</t>
  </si>
  <si>
    <t>M. A. C. DE LOIRE ATLANTIQUE</t>
  </si>
  <si>
    <t>0125</t>
  </si>
  <si>
    <t>CLUB AEROMODELISME AVALLONNAIS</t>
  </si>
  <si>
    <t>DEPT089</t>
  </si>
  <si>
    <t>0465</t>
  </si>
  <si>
    <t>AEROMODELISME LISLOIS</t>
  </si>
  <si>
    <t>0315</t>
  </si>
  <si>
    <t>AC DE ROMANS AEROMODELISME</t>
  </si>
  <si>
    <t>Lot balsa</t>
  </si>
  <si>
    <t>0492</t>
  </si>
  <si>
    <t>LES AILES SARREGUEMINOISES</t>
  </si>
  <si>
    <t>0499</t>
  </si>
  <si>
    <t>C. A. DE MARCY SAVIGNY</t>
  </si>
  <si>
    <t>0106</t>
  </si>
  <si>
    <t>AIR SANDILLON</t>
  </si>
  <si>
    <t>Moteur thermique</t>
  </si>
  <si>
    <t>0658</t>
  </si>
  <si>
    <t>SUD VIENNE AERO-MODELISME</t>
  </si>
  <si>
    <t>0747</t>
  </si>
  <si>
    <t>AÉRO-BUGGY CLUB ALAIN VAYSSIÈRE</t>
  </si>
  <si>
    <t>DEPT011</t>
  </si>
  <si>
    <t>0773</t>
  </si>
  <si>
    <t>AERO MODELES-CLUB DU LIBOURNAIS</t>
  </si>
  <si>
    <t>0470</t>
  </si>
  <si>
    <t>MODÈLE CLUB DE CHATEAU THIERRY</t>
  </si>
  <si>
    <t>DEPT002</t>
  </si>
  <si>
    <t>0530</t>
  </si>
  <si>
    <t>AERO MASSILLY 71</t>
  </si>
  <si>
    <t>CDAM071</t>
  </si>
  <si>
    <t>0936</t>
  </si>
  <si>
    <t>AERO CLUB DE CREPY FEIGNEUX</t>
  </si>
  <si>
    <t>DEPT060</t>
  </si>
  <si>
    <t>0057</t>
  </si>
  <si>
    <t>AEROMODEL CLUB NIORTAIS</t>
  </si>
  <si>
    <t>DEPT079</t>
  </si>
  <si>
    <t>0094</t>
  </si>
  <si>
    <t>PRESQU ILE AEROMODELISME</t>
  </si>
  <si>
    <t>0172</t>
  </si>
  <si>
    <t>CENTRE LEO LAGRANGE</t>
  </si>
  <si>
    <t>0180</t>
  </si>
  <si>
    <t>RADIO MODEL CLUB ROANNAIS</t>
  </si>
  <si>
    <t>0245</t>
  </si>
  <si>
    <t>C. A. DE OUISTREHAM-RIVA-BELLA</t>
  </si>
  <si>
    <t>0267</t>
  </si>
  <si>
    <t>LA CROIX DU SUD</t>
  </si>
  <si>
    <t>0383</t>
  </si>
  <si>
    <t>MODEL AIR CLUB D ARTOIS</t>
  </si>
  <si>
    <t>0494</t>
  </si>
  <si>
    <t>ASS. M.R. AVIONNEUX DE WAVRIN</t>
  </si>
  <si>
    <t>0535</t>
  </si>
  <si>
    <t>MODEL CLUB DE CHAVANOZ</t>
  </si>
  <si>
    <t>0657</t>
  </si>
  <si>
    <t>AERO NAUTISME CLUB D AZUR</t>
  </si>
  <si>
    <t>0663</t>
  </si>
  <si>
    <t>MODEL CLUB DU SANTERRE</t>
  </si>
  <si>
    <t>0859</t>
  </si>
  <si>
    <t>GERZAT AEROMODELISME PASSION</t>
  </si>
  <si>
    <t>DEPT063</t>
  </si>
  <si>
    <t>0949</t>
  </si>
  <si>
    <t>CLUB MAGDUNOIS D A. M.</t>
  </si>
  <si>
    <t>0986</t>
  </si>
  <si>
    <t>RADIOCOMMANDE AERONAUTIQUE DES MAUGES</t>
  </si>
  <si>
    <t>DEPT049</t>
  </si>
  <si>
    <t>AILES DU MACONNAIS ET DU VAL DE SAONE</t>
  </si>
  <si>
    <t>0155</t>
  </si>
  <si>
    <t>SECT. MONTOISE D AEROMODELISME</t>
  </si>
  <si>
    <t>Simulateur</t>
  </si>
  <si>
    <t>0242</t>
  </si>
  <si>
    <t>AEROMODELE CLUB DU CHAROLAIS</t>
  </si>
  <si>
    <t>0439</t>
  </si>
  <si>
    <t>RADIOMODELISME ACBM</t>
  </si>
  <si>
    <t>0815</t>
  </si>
  <si>
    <t>AIR MODELE DU PAYS FOUESNANTAIS</t>
  </si>
  <si>
    <t>ALBATROS MODEL CLUB D HERLIES</t>
  </si>
  <si>
    <t>AERO MODELISME CLUB CHAPELAIN</t>
  </si>
  <si>
    <t>B9 AIR MODEL CLUB</t>
  </si>
  <si>
    <t>0068</t>
  </si>
  <si>
    <t>PARIS AIR MODELE</t>
  </si>
  <si>
    <t>CDAM091</t>
  </si>
  <si>
    <t>Autres sur présentation justificatifs</t>
  </si>
  <si>
    <t>0195</t>
  </si>
  <si>
    <t>MINI AILES GAILLACOISES</t>
  </si>
  <si>
    <t>0298</t>
  </si>
  <si>
    <t>CLUB AERO. DU PLATEAU MAICHOIS</t>
  </si>
  <si>
    <t>DEPT025</t>
  </si>
  <si>
    <t>0503</t>
  </si>
  <si>
    <t>VDP BLANC NEZ</t>
  </si>
  <si>
    <t>0528</t>
  </si>
  <si>
    <t>EQUIPE LOCHOISE D AERO MODELISME</t>
  </si>
  <si>
    <t>0539</t>
  </si>
  <si>
    <t>AERO-MICRO-CLUB DE PHAFFANS</t>
  </si>
  <si>
    <t>0612</t>
  </si>
  <si>
    <t>MODELE AIR CLUB DE MANDRES</t>
  </si>
  <si>
    <t>0812</t>
  </si>
  <si>
    <t>ASS. MODELISME ET LOISIRS TECHNIQUES</t>
  </si>
  <si>
    <t>0840</t>
  </si>
  <si>
    <t>LES AILES SAINT-QUENTINOISES</t>
  </si>
  <si>
    <t>0909</t>
  </si>
  <si>
    <t>AERO2000</t>
  </si>
  <si>
    <t>CDAM035</t>
  </si>
  <si>
    <t>0963</t>
  </si>
  <si>
    <t>MODEL AIR CLUB DE BELFORT</t>
  </si>
  <si>
    <t>0052</t>
  </si>
  <si>
    <t>MODELISME CLUB JONAGEOIS</t>
  </si>
  <si>
    <t>0046</t>
  </si>
  <si>
    <t>MODEL CLUB DU PAYS BELLEGARDIEN</t>
  </si>
  <si>
    <t>0524</t>
  </si>
  <si>
    <t>MODEL AIR CLUB DE L'AUBE (M.A.C.A.)</t>
  </si>
  <si>
    <t>DEPT010</t>
  </si>
  <si>
    <t>Moteur thermique + moteur électrique</t>
  </si>
  <si>
    <t>0694</t>
  </si>
  <si>
    <t>ROCHEFORT AEROMODEL CLUB 17</t>
  </si>
  <si>
    <t>0837</t>
  </si>
  <si>
    <t>FLANDRE RADIO MODELISME</t>
  </si>
  <si>
    <t>0961</t>
  </si>
  <si>
    <t>RADIO MODELE CLUB SOISSONNAIS</t>
  </si>
  <si>
    <t>type de subvention</t>
  </si>
  <si>
    <t>Nb clubs en 2022</t>
  </si>
  <si>
    <t>Radio 
double commande</t>
  </si>
  <si>
    <t xml:space="preserve">Drone FPV </t>
  </si>
  <si>
    <t>Drone SOCCER</t>
  </si>
  <si>
    <t>Kit Olympus + motorisation électrique  hélice</t>
  </si>
  <si>
    <t>ARTF en mousse EPP avec motorisation électrique 
Easygider 4 RR</t>
  </si>
  <si>
    <t>Clik 21 (avion + servos + hélice + moteur + accu + batterie)</t>
  </si>
  <si>
    <t>Fun Racer
 RR</t>
  </si>
  <si>
    <t>Guixmodel</t>
  </si>
  <si>
    <t>Bat modélisme</t>
  </si>
  <si>
    <t xml:space="preserve">Drone  </t>
  </si>
  <si>
    <t>Conrad</t>
  </si>
  <si>
    <t>Montant total dotations 2023</t>
  </si>
</sst>
</file>

<file path=xl/styles.xml><?xml version="1.0" encoding="utf-8"?>
<styleSheet xmlns="http://schemas.openxmlformats.org/spreadsheetml/2006/main">
  <numFmts count="3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\ _€_ ;_ * \(#,##0\)\ _€_ ;_ * &quot;-&quot;_)\ _€_ ;_ @_ "/>
    <numFmt numFmtId="165" formatCode="_ * #,##0.00_)\ _€_ ;_ * \(#,##0.00\)\ _€_ ;_ * &quot;-&quot;??_)\ _€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.00\ &quot;€&quot;"/>
    <numFmt numFmtId="175" formatCode="#,##0\ _€"/>
    <numFmt numFmtId="176" formatCode="#,##0\ &quot;€&quot;"/>
    <numFmt numFmtId="177" formatCode="0.0%"/>
    <numFmt numFmtId="178" formatCode="0.0"/>
    <numFmt numFmtId="179" formatCode="0.00000"/>
    <numFmt numFmtId="180" formatCode="0.0000"/>
    <numFmt numFmtId="181" formatCode="0.000"/>
    <numFmt numFmtId="182" formatCode="[$-40C]dddd\ d\ mmmm\ yyyy"/>
    <numFmt numFmtId="183" formatCode="#,##0.0\ &quot;€&quot;"/>
    <numFmt numFmtId="184" formatCode="#,##0.000\ &quot;€&quot;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</numFmts>
  <fonts count="97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5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0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2"/>
      <color indexed="10"/>
      <name val="Calibri"/>
      <family val="2"/>
    </font>
    <font>
      <b/>
      <i/>
      <sz val="12"/>
      <color indexed="10"/>
      <name val="Calibri"/>
      <family val="2"/>
    </font>
    <font>
      <b/>
      <sz val="10"/>
      <color indexed="9"/>
      <name val="Calibri"/>
      <family val="2"/>
    </font>
    <font>
      <b/>
      <i/>
      <sz val="10"/>
      <color indexed="9"/>
      <name val="Calibri"/>
      <family val="2"/>
    </font>
    <font>
      <b/>
      <sz val="16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12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Calibri"/>
      <family val="2"/>
    </font>
    <font>
      <sz val="9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3"/>
      <name val="Lucida Gran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10"/>
      <name val="Calibri"/>
      <family val="2"/>
    </font>
    <font>
      <b/>
      <sz val="16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sz val="12"/>
      <color rgb="FF0000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sz val="10"/>
      <color rgb="FFFF0000"/>
      <name val="Calibri"/>
      <family val="2"/>
    </font>
    <font>
      <b/>
      <sz val="16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</fills>
  <borders count="3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medium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ck"/>
      <top style="thin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medium"/>
      <top style="thick"/>
      <bottom style="thick"/>
    </border>
    <border>
      <left style="dashDot">
        <color indexed="9"/>
      </left>
      <right style="dashDot">
        <color indexed="9"/>
      </right>
      <top style="thick"/>
      <bottom style="dashDot"/>
    </border>
    <border>
      <left style="dashDot">
        <color indexed="9"/>
      </left>
      <right style="dashDot"/>
      <top style="thick"/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 diagonalUp="1" diagonalDown="1">
      <left style="dashDot">
        <color indexed="9"/>
      </left>
      <right style="dashDot">
        <color indexed="9"/>
      </right>
      <top style="thick"/>
      <bottom style="dashDot"/>
      <diagonal style="dashDot">
        <color indexed="9"/>
      </diagonal>
    </border>
    <border>
      <left>
        <color indexed="63"/>
      </left>
      <right style="mediumDashed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Dashed"/>
      <top style="mediumDashed"/>
      <bottom style="mediumDashed"/>
    </border>
    <border>
      <left style="thick"/>
      <right>
        <color indexed="63"/>
      </right>
      <top style="mediumDashed"/>
      <bottom style="mediumDashed"/>
    </border>
    <border>
      <left style="medium"/>
      <right style="thick"/>
      <top style="thick"/>
      <bottom style="thick"/>
    </border>
    <border>
      <left style="thick"/>
      <right style="thick"/>
      <top style="mediumDashed"/>
      <bottom style="mediumDashed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 diagonalUp="1" diagonalDown="1">
      <left style="thick"/>
      <right style="thick"/>
      <top style="thick"/>
      <bottom style="thick"/>
      <diagonal style="thin"/>
    </border>
    <border>
      <left>
        <color indexed="63"/>
      </left>
      <right style="thin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medium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hair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 style="hair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 style="hair"/>
      <right style="medium"/>
      <top>
        <color indexed="63"/>
      </top>
      <bottom>
        <color indexed="63"/>
      </bottom>
      <diagonal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 diagonalUp="1" diagonalDown="1">
      <left style="medium"/>
      <right>
        <color indexed="63"/>
      </right>
      <top>
        <color indexed="63"/>
      </top>
      <bottom style="thick"/>
      <diagonal style="thin"/>
    </border>
    <border diagonalUp="1" diagonalDown="1">
      <left style="hair"/>
      <right style="medium"/>
      <top>
        <color indexed="63"/>
      </top>
      <bottom style="thick"/>
      <diagonal style="thin"/>
    </border>
    <border diagonalUp="1" diagonalDown="1">
      <left style="medium"/>
      <right>
        <color indexed="63"/>
      </right>
      <top style="medium"/>
      <bottom style="thick"/>
      <diagonal style="thin"/>
    </border>
    <border diagonalUp="1" diagonalDown="1">
      <left style="hair"/>
      <right style="medium"/>
      <top style="medium"/>
      <bottom style="thick"/>
      <diagonal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 diagonalUp="1" diagonalDown="1">
      <left style="hair"/>
      <right style="medium"/>
      <top style="thick"/>
      <bottom style="thick"/>
      <diagonal style="thin"/>
    </border>
    <border>
      <left style="hair"/>
      <right style="medium"/>
      <top style="thick"/>
      <bottom style="thick"/>
    </border>
    <border diagonalUp="1" diagonalDown="1">
      <left style="hair"/>
      <right style="medium"/>
      <top style="medium"/>
      <bottom style="medium"/>
      <diagonal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 diagonalUp="1" diagonalDown="1">
      <left style="hair"/>
      <right>
        <color indexed="63"/>
      </right>
      <top style="thick"/>
      <bottom style="thick"/>
      <diagonal style="thin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n"/>
      <top style="medium"/>
      <bottom style="thin">
        <color theme="0" tint="-0.1499900072813034"/>
      </bottom>
    </border>
    <border>
      <left style="thin"/>
      <right style="thin"/>
      <top style="medium"/>
      <bottom style="thin">
        <color theme="0" tint="-0.1499900072813034"/>
      </bottom>
    </border>
    <border>
      <left style="thin"/>
      <right>
        <color indexed="63"/>
      </right>
      <top style="medium"/>
      <bottom style="thin">
        <color theme="0" tint="-0.1499900072813034"/>
      </bottom>
    </border>
    <border>
      <left style="medium"/>
      <right>
        <color indexed="63"/>
      </right>
      <top style="medium"/>
      <bottom style="thin">
        <color theme="0" tint="-0.1499900072813034"/>
      </bottom>
    </border>
    <border>
      <left style="thin"/>
      <right style="medium"/>
      <top style="medium"/>
      <bottom style="thin">
        <color theme="0" tint="-0.1499900072813034"/>
      </bottom>
    </border>
    <border>
      <left>
        <color indexed="63"/>
      </left>
      <right style="thin"/>
      <top style="medium"/>
      <bottom style="thin">
        <color theme="0" tint="-0.1499900072813034"/>
      </bottom>
    </border>
    <border>
      <left style="medium"/>
      <right style="medium"/>
      <top style="medium"/>
      <bottom style="thin">
        <color theme="0" tint="-0.1499900072813034"/>
      </bottom>
    </border>
    <border>
      <left style="medium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medium"/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medium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/>
      <top style="thin">
        <color theme="0" tint="-0.1499900072813034"/>
      </top>
      <bottom style="thin">
        <color theme="0" tint="-0.1499900072813034"/>
      </bottom>
    </border>
    <border>
      <left style="medium"/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 style="thin"/>
      <top style="thin">
        <color theme="0" tint="-0.1499900072813034"/>
      </top>
      <bottom style="medium"/>
    </border>
    <border>
      <left style="thin"/>
      <right style="thin"/>
      <top style="thin">
        <color theme="0" tint="-0.1499900072813034"/>
      </top>
      <bottom style="medium"/>
    </border>
    <border>
      <left style="thin"/>
      <right>
        <color indexed="63"/>
      </right>
      <top style="thin">
        <color theme="0" tint="-0.1499900072813034"/>
      </top>
      <bottom style="medium"/>
    </border>
    <border>
      <left style="medium"/>
      <right>
        <color indexed="63"/>
      </right>
      <top style="thin">
        <color theme="0" tint="-0.1499900072813034"/>
      </top>
      <bottom style="medium"/>
    </border>
    <border>
      <left style="thin"/>
      <right style="medium"/>
      <top style="thin">
        <color theme="0" tint="-0.1499900072813034"/>
      </top>
      <bottom style="medium"/>
    </border>
    <border>
      <left>
        <color indexed="63"/>
      </left>
      <right style="thin"/>
      <top style="thin">
        <color theme="0" tint="-0.1499900072813034"/>
      </top>
      <bottom style="medium"/>
    </border>
    <border>
      <left style="medium"/>
      <right style="medium"/>
      <top style="thin">
        <color theme="0" tint="-0.1499900072813034"/>
      </top>
      <bottom style="medium"/>
    </border>
    <border>
      <left style="medium"/>
      <right style="thin"/>
      <top style="thin">
        <color theme="0" tint="-0.1499900072813034"/>
      </top>
      <bottom>
        <color indexed="63"/>
      </bottom>
    </border>
    <border>
      <left style="thin"/>
      <right style="thin"/>
      <top style="thin">
        <color theme="0" tint="-0.1499900072813034"/>
      </top>
      <bottom>
        <color indexed="63"/>
      </bottom>
    </border>
    <border>
      <left style="thin"/>
      <right>
        <color indexed="63"/>
      </right>
      <top style="thin">
        <color theme="0" tint="-0.1499900072813034"/>
      </top>
      <bottom>
        <color indexed="63"/>
      </bottom>
    </border>
    <border>
      <left style="medium"/>
      <right>
        <color indexed="63"/>
      </right>
      <top style="thin">
        <color theme="0" tint="-0.1499900072813034"/>
      </top>
      <bottom>
        <color indexed="63"/>
      </bottom>
    </border>
    <border>
      <left style="thin"/>
      <right style="medium"/>
      <top style="thin">
        <color theme="0" tint="-0.1499900072813034"/>
      </top>
      <bottom>
        <color indexed="63"/>
      </bottom>
    </border>
    <border>
      <left>
        <color indexed="63"/>
      </left>
      <right style="thin"/>
      <top style="thin">
        <color theme="0" tint="-0.1499900072813034"/>
      </top>
      <bottom>
        <color indexed="63"/>
      </bottom>
    </border>
    <border>
      <left style="medium"/>
      <right style="medium"/>
      <top style="thin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theme="0" tint="-0.1499900072813034"/>
      </bottom>
    </border>
    <border>
      <left>
        <color indexed="63"/>
      </left>
      <right style="medium"/>
      <top style="medium"/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medium"/>
    </border>
    <border>
      <left>
        <color indexed="63"/>
      </left>
      <right style="medium"/>
      <top style="thin">
        <color theme="0" tint="-0.1499900072813034"/>
      </top>
      <bottom style="medium"/>
    </border>
    <border>
      <left style="hair"/>
      <right>
        <color indexed="63"/>
      </right>
      <top style="thin">
        <color theme="0" tint="-0.1499900072813034"/>
      </top>
      <bottom style="medium"/>
    </border>
    <border>
      <left style="thin"/>
      <right>
        <color indexed="63"/>
      </right>
      <top>
        <color indexed="63"/>
      </top>
      <bottom style="thin">
        <color theme="0" tint="-0.1499900072813034"/>
      </bottom>
    </border>
    <border>
      <left style="thin"/>
      <right style="medium"/>
      <top style="medium"/>
      <bottom style="thick"/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>
        <color theme="0" tint="-0.24997000396251678"/>
      </left>
      <right style="medium"/>
      <top style="medium"/>
      <bottom style="medium"/>
    </border>
    <border diagonalUp="1" diagonalDown="1">
      <left style="thin">
        <color theme="0" tint="-0.24997000396251678"/>
      </left>
      <right style="medium"/>
      <top>
        <color indexed="63"/>
      </top>
      <bottom>
        <color indexed="63"/>
      </bottom>
      <diagonal style="thin"/>
    </border>
    <border diagonalUp="1" diagonalDown="1">
      <left style="thin">
        <color theme="0" tint="-0.24997000396251678"/>
      </left>
      <right style="medium"/>
      <top style="medium"/>
      <bottom style="medium"/>
      <diagonal style="thin"/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 diagonalUp="1" diagonalDown="1">
      <left style="thin">
        <color theme="0" tint="-0.24997000396251678"/>
      </left>
      <right style="medium"/>
      <top>
        <color indexed="63"/>
      </top>
      <bottom style="thick"/>
      <diagonal style="thin"/>
    </border>
    <border diagonalUp="1" diagonalDown="1">
      <left style="thin">
        <color theme="0" tint="-0.24997000396251678"/>
      </left>
      <right style="medium"/>
      <top style="medium"/>
      <bottom style="thick"/>
      <diagonal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 diagonalUp="1" diagonalDown="1">
      <left style="thin">
        <color theme="0" tint="-0.24997000396251678"/>
      </left>
      <right style="medium"/>
      <top style="thick"/>
      <bottom style="thick"/>
      <diagonal style="thin"/>
    </border>
    <border>
      <left style="thin">
        <color theme="0" tint="-0.24997000396251678"/>
      </left>
      <right style="medium"/>
      <top style="thick"/>
      <bottom style="thick"/>
    </border>
    <border>
      <left style="medium">
        <color theme="1"/>
      </left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 style="thick"/>
      <top style="thick"/>
      <bottom style="medium"/>
    </border>
    <border>
      <left style="medium"/>
      <right style="medium"/>
      <top style="thin">
        <color theme="0" tint="-0.1499900072813034"/>
      </top>
      <bottom style="thin">
        <color theme="0" tint="-0.149959996342659"/>
      </bottom>
    </border>
    <border>
      <left style="thin"/>
      <right style="medium"/>
      <top style="thin">
        <color theme="0" tint="-0.1499900072813034"/>
      </top>
      <bottom style="thin">
        <color theme="0" tint="-0.149959996342659"/>
      </bottom>
    </border>
    <border>
      <left style="medium"/>
      <right style="thin"/>
      <top style="thin">
        <color theme="0" tint="-0.1499900072813034"/>
      </top>
      <bottom style="thin">
        <color theme="0" tint="-0.149959996342659"/>
      </bottom>
    </border>
    <border>
      <left style="thin"/>
      <right style="thin"/>
      <top style="thin">
        <color theme="0" tint="-0.1499900072813034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900072813034"/>
      </top>
      <bottom style="thin">
        <color theme="0" tint="-0.149959996342659"/>
      </bottom>
    </border>
    <border>
      <left style="thin"/>
      <right style="medium"/>
      <top style="thin">
        <color theme="0" tint="-0.149959996342659"/>
      </top>
      <bottom>
        <color indexed="63"/>
      </bottom>
    </border>
    <border>
      <left style="thick"/>
      <right>
        <color indexed="63"/>
      </right>
      <top>
        <color indexed="63"/>
      </top>
      <bottom style="mediumDashed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dashDot"/>
      <right style="dashDot">
        <color indexed="9"/>
      </right>
      <top style="thick"/>
      <bottom style="dashDot"/>
    </border>
    <border>
      <left style="thick"/>
      <right style="medium"/>
      <top style="thick"/>
      <bottom style="thick"/>
    </border>
    <border>
      <left style="thick"/>
      <right>
        <color indexed="63"/>
      </right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thick"/>
      <bottom style="medium"/>
    </border>
    <border>
      <left style="thick"/>
      <right>
        <color indexed="63"/>
      </right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theme="0" tint="-0.24997000396251678"/>
      </left>
      <right style="medium"/>
      <top style="medium"/>
      <bottom>
        <color indexed="63"/>
      </bottom>
    </border>
    <border>
      <left style="thin">
        <color theme="0" tint="-0.24997000396251678"/>
      </left>
      <right style="medium"/>
      <top>
        <color indexed="63"/>
      </top>
      <bottom>
        <color indexed="63"/>
      </bottom>
    </border>
    <border>
      <left style="thin">
        <color theme="0" tint="-0.24997000396251678"/>
      </left>
      <right style="medium"/>
      <top>
        <color indexed="63"/>
      </top>
      <bottom style="medium"/>
    </border>
    <border>
      <left style="thin">
        <color theme="0" tint="-0.24997000396251678"/>
      </left>
      <right style="medium"/>
      <top>
        <color indexed="63"/>
      </top>
      <bottom style="thin"/>
    </border>
    <border>
      <left style="thin">
        <color theme="0" tint="-0.24997000396251678"/>
      </left>
      <right style="medium"/>
      <top style="thin"/>
      <bottom style="thin"/>
    </border>
    <border>
      <left style="thin">
        <color theme="0" tint="-0.24997000396251678"/>
      </left>
      <right style="medium"/>
      <top style="medium"/>
      <bottom style="thin"/>
    </border>
    <border>
      <left style="thin">
        <color theme="0" tint="-0.24997000396251678"/>
      </left>
      <right style="medium"/>
      <top style="thin"/>
      <bottom>
        <color indexed="63"/>
      </bottom>
    </border>
    <border>
      <left style="thin">
        <color theme="0" tint="-0.24997000396251678"/>
      </left>
      <right style="medium"/>
      <top style="thin"/>
      <bottom style="medium"/>
    </border>
    <border>
      <left style="thin"/>
      <right style="thin"/>
      <top/>
      <bottom style="thin">
        <color theme="0" tint="-0.1499900072813034"/>
      </bottom>
    </border>
    <border>
      <left style="medium"/>
      <right style="medium"/>
      <top/>
      <bottom style="thin">
        <color theme="0" tint="-0.1499900072813034"/>
      </bottom>
    </border>
    <border>
      <left style="medium"/>
      <right/>
      <top/>
      <bottom style="thin">
        <color theme="0" tint="-0.1499900072813034"/>
      </bottom>
    </border>
    <border>
      <left/>
      <right/>
      <top/>
      <bottom style="thin">
        <color theme="0" tint="-0.1499900072813034"/>
      </bottom>
    </border>
    <border>
      <left style="thin"/>
      <right style="medium"/>
      <top/>
      <bottom style="thin">
        <color theme="0" tint="-0.1499900072813034"/>
      </bottom>
    </border>
    <border>
      <left style="medium"/>
      <right style="thin"/>
      <top/>
      <bottom style="thin">
        <color theme="0" tint="-0.1499900072813034"/>
      </bottom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ck"/>
      <right style="medium"/>
      <top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0" borderId="2" applyNumberFormat="0" applyFill="0" applyAlignment="0" applyProtection="0"/>
    <xf numFmtId="0" fontId="78" fillId="27" borderId="1" applyNumberFormat="0" applyAlignment="0" applyProtection="0"/>
    <xf numFmtId="0" fontId="53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79" fillId="0" borderId="0" applyFont="0" applyFill="0" applyBorder="0" applyAlignment="0" applyProtection="0"/>
    <xf numFmtId="0" fontId="80" fillId="29" borderId="0" applyNumberFormat="0" applyBorder="0" applyAlignment="0" applyProtection="0"/>
    <xf numFmtId="0" fontId="79" fillId="0" borderId="0">
      <alignment/>
      <protection/>
    </xf>
    <xf numFmtId="0" fontId="8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26" borderId="4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32" borderId="9" applyNumberFormat="0" applyAlignment="0" applyProtection="0"/>
  </cellStyleXfs>
  <cellXfs count="191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vertical="center" textRotation="18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0" fillId="0" borderId="1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" fontId="0" fillId="0" borderId="22" xfId="0" applyNumberFormat="1" applyFill="1" applyBorder="1" applyAlignment="1">
      <alignment horizontal="center" vertical="center"/>
    </xf>
    <xf numFmtId="0" fontId="0" fillId="0" borderId="4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 vertical="center"/>
    </xf>
    <xf numFmtId="0" fontId="0" fillId="0" borderId="5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9" fontId="0" fillId="0" borderId="0" xfId="0" applyNumberFormat="1" applyAlignment="1">
      <alignment horizontal="center"/>
    </xf>
    <xf numFmtId="1" fontId="0" fillId="0" borderId="62" xfId="0" applyNumberFormat="1" applyFill="1" applyBorder="1" applyAlignment="1">
      <alignment horizontal="center" vertic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1" fontId="0" fillId="0" borderId="5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" fontId="0" fillId="0" borderId="42" xfId="0" applyNumberFormat="1" applyFill="1" applyBorder="1" applyAlignment="1">
      <alignment horizontal="center" vertical="center"/>
    </xf>
    <xf numFmtId="1" fontId="0" fillId="0" borderId="58" xfId="0" applyNumberFormat="1" applyFill="1" applyBorder="1" applyAlignment="1">
      <alignment horizontal="center" vertical="center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72" xfId="0" applyFill="1" applyBorder="1" applyAlignment="1">
      <alignment horizontal="center" vertical="center"/>
    </xf>
    <xf numFmtId="0" fontId="0" fillId="33" borderId="73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33" borderId="75" xfId="0" applyFill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33" borderId="79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33" borderId="82" xfId="0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33" borderId="85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176" fontId="7" fillId="34" borderId="97" xfId="0" applyNumberFormat="1" applyFont="1" applyFill="1" applyBorder="1" applyAlignment="1">
      <alignment horizontal="center" vertical="center"/>
    </xf>
    <xf numFmtId="176" fontId="7" fillId="0" borderId="97" xfId="0" applyNumberFormat="1" applyFont="1" applyBorder="1" applyAlignment="1">
      <alignment horizontal="center" vertical="center"/>
    </xf>
    <xf numFmtId="0" fontId="8" fillId="35" borderId="98" xfId="0" applyFont="1" applyFill="1" applyBorder="1" applyAlignment="1">
      <alignment horizontal="center" vertical="center"/>
    </xf>
    <xf numFmtId="0" fontId="8" fillId="35" borderId="98" xfId="0" applyFont="1" applyFill="1" applyBorder="1" applyAlignment="1">
      <alignment horizontal="center" vertical="center" wrapText="1"/>
    </xf>
    <xf numFmtId="0" fontId="8" fillId="35" borderId="99" xfId="0" applyFont="1" applyFill="1" applyBorder="1" applyAlignment="1">
      <alignment horizontal="center" vertical="center" wrapText="1"/>
    </xf>
    <xf numFmtId="0" fontId="8" fillId="0" borderId="100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8" fillId="35" borderId="101" xfId="0" applyFont="1" applyFill="1" applyBorder="1" applyAlignment="1">
      <alignment horizontal="center" vertical="center"/>
    </xf>
    <xf numFmtId="174" fontId="0" fillId="0" borderId="102" xfId="0" applyNumberFormat="1" applyBorder="1" applyAlignment="1">
      <alignment horizontal="center" vertical="center" wrapText="1"/>
    </xf>
    <xf numFmtId="174" fontId="0" fillId="0" borderId="0" xfId="0" applyNumberFormat="1" applyAlignment="1">
      <alignment horizontal="center"/>
    </xf>
    <xf numFmtId="174" fontId="0" fillId="0" borderId="103" xfId="0" applyNumberFormat="1" applyBorder="1" applyAlignment="1">
      <alignment horizontal="center"/>
    </xf>
    <xf numFmtId="174" fontId="0" fillId="0" borderId="104" xfId="0" applyNumberFormat="1" applyFill="1" applyBorder="1" applyAlignment="1">
      <alignment horizontal="center"/>
    </xf>
    <xf numFmtId="174" fontId="4" fillId="36" borderId="105" xfId="0" applyNumberFormat="1" applyFont="1" applyFill="1" applyBorder="1" applyAlignment="1">
      <alignment horizontal="center"/>
    </xf>
    <xf numFmtId="174" fontId="0" fillId="0" borderId="104" xfId="0" applyNumberFormat="1" applyFont="1" applyFill="1" applyBorder="1" applyAlignment="1">
      <alignment horizontal="center"/>
    </xf>
    <xf numFmtId="174" fontId="0" fillId="0" borderId="104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0" fontId="0" fillId="37" borderId="22" xfId="0" applyFill="1" applyBorder="1" applyAlignment="1">
      <alignment horizontal="center"/>
    </xf>
    <xf numFmtId="176" fontId="7" fillId="34" borderId="106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38" borderId="22" xfId="0" applyFill="1" applyBorder="1" applyAlignment="1">
      <alignment horizontal="center" vertical="center"/>
    </xf>
    <xf numFmtId="0" fontId="0" fillId="37" borderId="24" xfId="0" applyFill="1" applyBorder="1" applyAlignment="1">
      <alignment horizontal="center"/>
    </xf>
    <xf numFmtId="0" fontId="0" fillId="38" borderId="33" xfId="0" applyFill="1" applyBorder="1" applyAlignment="1">
      <alignment horizontal="center"/>
    </xf>
    <xf numFmtId="0" fontId="0" fillId="37" borderId="56" xfId="0" applyFill="1" applyBorder="1" applyAlignment="1">
      <alignment horizontal="center"/>
    </xf>
    <xf numFmtId="174" fontId="0" fillId="0" borderId="107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3" borderId="108" xfId="0" applyFont="1" applyFill="1" applyBorder="1" applyAlignment="1">
      <alignment horizontal="right"/>
    </xf>
    <xf numFmtId="0" fontId="2" fillId="33" borderId="109" xfId="0" applyFont="1" applyFill="1" applyBorder="1" applyAlignment="1">
      <alignment horizontal="right"/>
    </xf>
    <xf numFmtId="0" fontId="2" fillId="36" borderId="110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11" xfId="0" applyFont="1" applyFill="1" applyBorder="1" applyAlignment="1">
      <alignment horizontal="left"/>
    </xf>
    <xf numFmtId="0" fontId="2" fillId="33" borderId="42" xfId="0" applyFont="1" applyFill="1" applyBorder="1" applyAlignment="1">
      <alignment horizontal="left"/>
    </xf>
    <xf numFmtId="1" fontId="2" fillId="36" borderId="112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69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14" fillId="38" borderId="114" xfId="0" applyFont="1" applyFill="1" applyBorder="1" applyAlignment="1">
      <alignment horizontal="center" vertical="center" wrapText="1"/>
    </xf>
    <xf numFmtId="169" fontId="6" fillId="38" borderId="115" xfId="0" applyNumberFormat="1" applyFont="1" applyFill="1" applyBorder="1" applyAlignment="1">
      <alignment horizontal="center" vertical="center" wrapText="1"/>
    </xf>
    <xf numFmtId="169" fontId="6" fillId="38" borderId="95" xfId="0" applyNumberFormat="1" applyFont="1" applyFill="1" applyBorder="1" applyAlignment="1">
      <alignment horizontal="center" vertical="center" wrapText="1"/>
    </xf>
    <xf numFmtId="167" fontId="6" fillId="38" borderId="95" xfId="0" applyNumberFormat="1" applyFont="1" applyFill="1" applyBorder="1" applyAlignment="1">
      <alignment horizontal="center" vertical="center" wrapText="1"/>
    </xf>
    <xf numFmtId="169" fontId="6" fillId="38" borderId="96" xfId="0" applyNumberFormat="1" applyFont="1" applyFill="1" applyBorder="1" applyAlignment="1">
      <alignment horizontal="center" vertical="center" wrapText="1"/>
    </xf>
    <xf numFmtId="167" fontId="6" fillId="38" borderId="116" xfId="0" applyNumberFormat="1" applyFont="1" applyFill="1" applyBorder="1" applyAlignment="1">
      <alignment horizontal="center" vertical="center" wrapText="1"/>
    </xf>
    <xf numFmtId="167" fontId="6" fillId="38" borderId="115" xfId="0" applyNumberFormat="1" applyFont="1" applyFill="1" applyBorder="1" applyAlignment="1">
      <alignment horizontal="center" vertical="center" wrapText="1"/>
    </xf>
    <xf numFmtId="167" fontId="6" fillId="38" borderId="96" xfId="0" applyNumberFormat="1" applyFont="1" applyFill="1" applyBorder="1" applyAlignment="1">
      <alignment horizontal="center" vertical="center" wrapText="1"/>
    </xf>
    <xf numFmtId="169" fontId="6" fillId="38" borderId="116" xfId="0" applyNumberFormat="1" applyFont="1" applyFill="1" applyBorder="1" applyAlignment="1">
      <alignment horizontal="center" vertical="center"/>
    </xf>
    <xf numFmtId="0" fontId="6" fillId="38" borderId="95" xfId="0" applyFont="1" applyFill="1" applyBorder="1" applyAlignment="1">
      <alignment horizontal="center" vertical="center" wrapText="1"/>
    </xf>
    <xf numFmtId="0" fontId="0" fillId="33" borderId="103" xfId="0" applyFill="1" applyBorder="1" applyAlignment="1">
      <alignment horizontal="right"/>
    </xf>
    <xf numFmtId="0" fontId="0" fillId="33" borderId="85" xfId="0" applyFill="1" applyBorder="1" applyAlignment="1">
      <alignment horizontal="left"/>
    </xf>
    <xf numFmtId="0" fontId="0" fillId="0" borderId="117" xfId="0" applyFill="1" applyBorder="1" applyAlignment="1">
      <alignment horizontal="center"/>
    </xf>
    <xf numFmtId="0" fontId="0" fillId="0" borderId="118" xfId="0" applyFill="1" applyBorder="1" applyAlignment="1">
      <alignment horizontal="center"/>
    </xf>
    <xf numFmtId="0" fontId="0" fillId="0" borderId="118" xfId="0" applyFill="1" applyBorder="1" applyAlignment="1">
      <alignment horizontal="center" vertical="center"/>
    </xf>
    <xf numFmtId="0" fontId="0" fillId="0" borderId="119" xfId="0" applyFill="1" applyBorder="1" applyAlignment="1">
      <alignment horizontal="center"/>
    </xf>
    <xf numFmtId="0" fontId="0" fillId="0" borderId="120" xfId="0" applyFill="1" applyBorder="1" applyAlignment="1">
      <alignment horizontal="center"/>
    </xf>
    <xf numFmtId="0" fontId="0" fillId="0" borderId="119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/>
    </xf>
    <xf numFmtId="1" fontId="0" fillId="0" borderId="89" xfId="0" applyNumberFormat="1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/>
    </xf>
    <xf numFmtId="0" fontId="0" fillId="0" borderId="121" xfId="0" applyFill="1" applyBorder="1" applyAlignment="1">
      <alignment horizontal="center"/>
    </xf>
    <xf numFmtId="0" fontId="0" fillId="0" borderId="93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/>
    </xf>
    <xf numFmtId="0" fontId="0" fillId="0" borderId="122" xfId="0" applyFill="1" applyBorder="1" applyAlignment="1">
      <alignment horizontal="center"/>
    </xf>
    <xf numFmtId="0" fontId="0" fillId="0" borderId="78" xfId="0" applyFill="1" applyBorder="1" applyAlignment="1">
      <alignment horizontal="center" vertical="center"/>
    </xf>
    <xf numFmtId="0" fontId="0" fillId="39" borderId="92" xfId="0" applyFill="1" applyBorder="1" applyAlignment="1">
      <alignment horizontal="center"/>
    </xf>
    <xf numFmtId="0" fontId="2" fillId="0" borderId="116" xfId="0" applyFont="1" applyFill="1" applyBorder="1" applyAlignment="1">
      <alignment horizontal="center" vertical="center" wrapText="1"/>
    </xf>
    <xf numFmtId="10" fontId="2" fillId="0" borderId="116" xfId="0" applyNumberFormat="1" applyFont="1" applyFill="1" applyBorder="1" applyAlignment="1">
      <alignment horizontal="center" vertical="center" wrapText="1"/>
    </xf>
    <xf numFmtId="0" fontId="0" fillId="0" borderId="115" xfId="0" applyFill="1" applyBorder="1" applyAlignment="1">
      <alignment horizontal="center"/>
    </xf>
    <xf numFmtId="0" fontId="0" fillId="0" borderId="95" xfId="0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0" fontId="0" fillId="0" borderId="116" xfId="0" applyFill="1" applyBorder="1" applyAlignment="1">
      <alignment horizontal="center"/>
    </xf>
    <xf numFmtId="0" fontId="0" fillId="0" borderId="123" xfId="0" applyFill="1" applyBorder="1" applyAlignment="1">
      <alignment horizontal="center"/>
    </xf>
    <xf numFmtId="0" fontId="0" fillId="39" borderId="56" xfId="0" applyFill="1" applyBorder="1" applyAlignment="1">
      <alignment horizontal="center"/>
    </xf>
    <xf numFmtId="0" fontId="0" fillId="0" borderId="124" xfId="0" applyFill="1" applyBorder="1" applyAlignment="1">
      <alignment horizontal="center"/>
    </xf>
    <xf numFmtId="0" fontId="0" fillId="39" borderId="58" xfId="0" applyFill="1" applyBorder="1" applyAlignment="1">
      <alignment horizontal="center"/>
    </xf>
    <xf numFmtId="0" fontId="0" fillId="33" borderId="118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89" xfId="0" applyFill="1" applyBorder="1" applyAlignment="1">
      <alignment horizontal="center"/>
    </xf>
    <xf numFmtId="0" fontId="0" fillId="0" borderId="103" xfId="0" applyFill="1" applyBorder="1" applyAlignment="1">
      <alignment horizontal="center" vertical="center"/>
    </xf>
    <xf numFmtId="0" fontId="0" fillId="39" borderId="89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176" fontId="11" fillId="0" borderId="114" xfId="0" applyNumberFormat="1" applyFont="1" applyBorder="1" applyAlignment="1">
      <alignment horizontal="center" vertical="center"/>
    </xf>
    <xf numFmtId="176" fontId="7" fillId="34" borderId="125" xfId="0" applyNumberFormat="1" applyFont="1" applyFill="1" applyBorder="1" applyAlignment="1">
      <alignment horizontal="center" vertical="center"/>
    </xf>
    <xf numFmtId="176" fontId="7" fillId="34" borderId="116" xfId="0" applyNumberFormat="1" applyFont="1" applyFill="1" applyBorder="1" applyAlignment="1">
      <alignment horizontal="center" vertical="center"/>
    </xf>
    <xf numFmtId="0" fontId="0" fillId="0" borderId="126" xfId="0" applyBorder="1" applyAlignment="1">
      <alignment horizontal="center" vertical="center" wrapText="1"/>
    </xf>
    <xf numFmtId="0" fontId="0" fillId="0" borderId="127" xfId="0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14" fillId="34" borderId="129" xfId="0" applyFont="1" applyFill="1" applyBorder="1" applyAlignment="1">
      <alignment horizontal="center" vertical="center" wrapText="1"/>
    </xf>
    <xf numFmtId="169" fontId="6" fillId="34" borderId="115" xfId="0" applyNumberFormat="1" applyFont="1" applyFill="1" applyBorder="1" applyAlignment="1">
      <alignment horizontal="center" vertical="center" wrapText="1"/>
    </xf>
    <xf numFmtId="169" fontId="6" fillId="34" borderId="95" xfId="0" applyNumberFormat="1" applyFont="1" applyFill="1" applyBorder="1" applyAlignment="1">
      <alignment horizontal="center" vertical="center" wrapText="1"/>
    </xf>
    <xf numFmtId="167" fontId="6" fillId="34" borderId="95" xfId="0" applyNumberFormat="1" applyFont="1" applyFill="1" applyBorder="1" applyAlignment="1">
      <alignment horizontal="center" vertical="center" wrapText="1"/>
    </xf>
    <xf numFmtId="169" fontId="6" fillId="34" borderId="96" xfId="0" applyNumberFormat="1" applyFont="1" applyFill="1" applyBorder="1" applyAlignment="1">
      <alignment horizontal="center" vertical="center" wrapText="1"/>
    </xf>
    <xf numFmtId="167" fontId="6" fillId="34" borderId="116" xfId="0" applyNumberFormat="1" applyFont="1" applyFill="1" applyBorder="1" applyAlignment="1">
      <alignment horizontal="center" vertical="center" wrapText="1"/>
    </xf>
    <xf numFmtId="167" fontId="6" fillId="34" borderId="115" xfId="0" applyNumberFormat="1" applyFont="1" applyFill="1" applyBorder="1" applyAlignment="1">
      <alignment horizontal="center" vertical="center" wrapText="1"/>
    </xf>
    <xf numFmtId="167" fontId="6" fillId="34" borderId="96" xfId="0" applyNumberFormat="1" applyFont="1" applyFill="1" applyBorder="1" applyAlignment="1">
      <alignment horizontal="center" vertical="center" wrapText="1"/>
    </xf>
    <xf numFmtId="169" fontId="6" fillId="34" borderId="116" xfId="0" applyNumberFormat="1" applyFont="1" applyFill="1" applyBorder="1" applyAlignment="1">
      <alignment horizontal="center" vertical="center"/>
    </xf>
    <xf numFmtId="0" fontId="6" fillId="34" borderId="95" xfId="0" applyFont="1" applyFill="1" applyBorder="1" applyAlignment="1">
      <alignment horizontal="center" vertical="center" wrapText="1"/>
    </xf>
    <xf numFmtId="0" fontId="15" fillId="33" borderId="130" xfId="0" applyFont="1" applyFill="1" applyBorder="1" applyAlignment="1">
      <alignment horizontal="left"/>
    </xf>
    <xf numFmtId="0" fontId="16" fillId="0" borderId="131" xfId="0" applyFont="1" applyFill="1" applyBorder="1" applyAlignment="1">
      <alignment horizontal="center"/>
    </xf>
    <xf numFmtId="0" fontId="16" fillId="0" borderId="132" xfId="0" applyFont="1" applyFill="1" applyBorder="1" applyAlignment="1">
      <alignment horizontal="center"/>
    </xf>
    <xf numFmtId="0" fontId="16" fillId="0" borderId="132" xfId="0" applyFont="1" applyFill="1" applyBorder="1" applyAlignment="1">
      <alignment horizontal="center" vertical="center"/>
    </xf>
    <xf numFmtId="0" fontId="16" fillId="0" borderId="133" xfId="0" applyFont="1" applyFill="1" applyBorder="1" applyAlignment="1">
      <alignment horizontal="center"/>
    </xf>
    <xf numFmtId="0" fontId="15" fillId="33" borderId="134" xfId="0" applyFont="1" applyFill="1" applyBorder="1" applyAlignment="1">
      <alignment horizontal="left" vertical="center" wrapText="1"/>
    </xf>
    <xf numFmtId="0" fontId="16" fillId="33" borderId="135" xfId="0" applyFont="1" applyFill="1" applyBorder="1" applyAlignment="1">
      <alignment horizontal="center"/>
    </xf>
    <xf numFmtId="0" fontId="16" fillId="33" borderId="136" xfId="0" applyFont="1" applyFill="1" applyBorder="1" applyAlignment="1">
      <alignment horizontal="center"/>
    </xf>
    <xf numFmtId="0" fontId="16" fillId="33" borderId="137" xfId="0" applyFont="1" applyFill="1" applyBorder="1" applyAlignment="1">
      <alignment horizontal="center"/>
    </xf>
    <xf numFmtId="0" fontId="15" fillId="33" borderId="134" xfId="0" applyFont="1" applyFill="1" applyBorder="1" applyAlignment="1">
      <alignment horizontal="left" vertical="center"/>
    </xf>
    <xf numFmtId="0" fontId="16" fillId="34" borderId="135" xfId="0" applyFont="1" applyFill="1" applyBorder="1" applyAlignment="1">
      <alignment horizontal="center"/>
    </xf>
    <xf numFmtId="0" fontId="16" fillId="34" borderId="136" xfId="0" applyFont="1" applyFill="1" applyBorder="1" applyAlignment="1">
      <alignment horizontal="center"/>
    </xf>
    <xf numFmtId="0" fontId="16" fillId="34" borderId="137" xfId="0" applyFont="1" applyFill="1" applyBorder="1" applyAlignment="1">
      <alignment horizontal="center"/>
    </xf>
    <xf numFmtId="0" fontId="17" fillId="33" borderId="136" xfId="0" applyFont="1" applyFill="1" applyBorder="1" applyAlignment="1">
      <alignment horizontal="center"/>
    </xf>
    <xf numFmtId="0" fontId="15" fillId="33" borderId="138" xfId="0" applyFont="1" applyFill="1" applyBorder="1" applyAlignment="1">
      <alignment vertical="center" wrapText="1"/>
    </xf>
    <xf numFmtId="0" fontId="16" fillId="33" borderId="139" xfId="0" applyFont="1" applyFill="1" applyBorder="1" applyAlignment="1">
      <alignment horizontal="center"/>
    </xf>
    <xf numFmtId="0" fontId="16" fillId="33" borderId="140" xfId="0" applyFont="1" applyFill="1" applyBorder="1" applyAlignment="1">
      <alignment horizontal="center"/>
    </xf>
    <xf numFmtId="0" fontId="16" fillId="33" borderId="141" xfId="0" applyFont="1" applyFill="1" applyBorder="1" applyAlignment="1">
      <alignment horizontal="center"/>
    </xf>
    <xf numFmtId="0" fontId="16" fillId="33" borderId="142" xfId="0" applyFont="1" applyFill="1" applyBorder="1" applyAlignment="1">
      <alignment horizontal="center"/>
    </xf>
    <xf numFmtId="0" fontId="16" fillId="33" borderId="143" xfId="0" applyFont="1" applyFill="1" applyBorder="1" applyAlignment="1">
      <alignment horizontal="center"/>
    </xf>
    <xf numFmtId="0" fontId="16" fillId="33" borderId="144" xfId="0" applyFont="1" applyFill="1" applyBorder="1" applyAlignment="1">
      <alignment horizontal="center"/>
    </xf>
    <xf numFmtId="0" fontId="10" fillId="0" borderId="116" xfId="0" applyFont="1" applyBorder="1" applyAlignment="1">
      <alignment vertical="center"/>
    </xf>
    <xf numFmtId="176" fontId="11" fillId="0" borderId="116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145" xfId="0" applyFont="1" applyBorder="1" applyAlignment="1">
      <alignment horizontal="center" vertical="center" wrapText="1"/>
    </xf>
    <xf numFmtId="0" fontId="19" fillId="0" borderId="146" xfId="0" applyFont="1" applyBorder="1" applyAlignment="1">
      <alignment horizontal="center" vertical="center" wrapText="1"/>
    </xf>
    <xf numFmtId="0" fontId="19" fillId="0" borderId="147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146" xfId="0" applyFont="1" applyFill="1" applyBorder="1" applyAlignment="1">
      <alignment horizontal="center" vertical="center" wrapText="1"/>
    </xf>
    <xf numFmtId="0" fontId="19" fillId="0" borderId="148" xfId="0" applyFont="1" applyBorder="1" applyAlignment="1">
      <alignment horizontal="center" vertical="center" wrapText="1"/>
    </xf>
    <xf numFmtId="0" fontId="19" fillId="0" borderId="149" xfId="0" applyFont="1" applyBorder="1" applyAlignment="1">
      <alignment horizontal="center" vertical="center" wrapText="1"/>
    </xf>
    <xf numFmtId="0" fontId="19" fillId="0" borderId="150" xfId="0" applyFont="1" applyBorder="1" applyAlignment="1">
      <alignment horizontal="center" vertical="center" wrapText="1"/>
    </xf>
    <xf numFmtId="0" fontId="19" fillId="0" borderId="151" xfId="0" applyFont="1" applyBorder="1" applyAlignment="1">
      <alignment horizontal="center" vertical="center" wrapText="1"/>
    </xf>
    <xf numFmtId="0" fontId="20" fillId="0" borderId="152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/>
    </xf>
    <xf numFmtId="0" fontId="19" fillId="0" borderId="49" xfId="0" applyFont="1" applyFill="1" applyBorder="1" applyAlignment="1">
      <alignment horizontal="center" vertical="center" wrapText="1"/>
    </xf>
    <xf numFmtId="0" fontId="21" fillId="40" borderId="153" xfId="0" applyFont="1" applyFill="1" applyBorder="1" applyAlignment="1">
      <alignment horizontal="center" vertical="center" wrapText="1"/>
    </xf>
    <xf numFmtId="0" fontId="21" fillId="40" borderId="154" xfId="0" applyFont="1" applyFill="1" applyBorder="1" applyAlignment="1">
      <alignment horizontal="center" vertical="center" wrapText="1"/>
    </xf>
    <xf numFmtId="0" fontId="22" fillId="40" borderId="155" xfId="0" applyFont="1" applyFill="1" applyBorder="1" applyAlignment="1">
      <alignment horizontal="center" vertical="center" wrapText="1"/>
    </xf>
    <xf numFmtId="0" fontId="21" fillId="40" borderId="55" xfId="0" applyFont="1" applyFill="1" applyBorder="1" applyAlignment="1">
      <alignment horizontal="center" vertical="center" wrapText="1"/>
    </xf>
    <xf numFmtId="0" fontId="22" fillId="40" borderId="156" xfId="0" applyFont="1" applyFill="1" applyBorder="1" applyAlignment="1">
      <alignment horizontal="center" vertical="center" wrapText="1"/>
    </xf>
    <xf numFmtId="169" fontId="23" fillId="40" borderId="69" xfId="0" applyNumberFormat="1" applyFont="1" applyFill="1" applyBorder="1" applyAlignment="1">
      <alignment horizontal="center" vertical="center" wrapText="1"/>
    </xf>
    <xf numFmtId="169" fontId="23" fillId="40" borderId="67" xfId="0" applyNumberFormat="1" applyFont="1" applyFill="1" applyBorder="1" applyAlignment="1">
      <alignment horizontal="center" vertical="center" wrapText="1"/>
    </xf>
    <xf numFmtId="169" fontId="23" fillId="40" borderId="68" xfId="0" applyNumberFormat="1" applyFont="1" applyFill="1" applyBorder="1" applyAlignment="1">
      <alignment horizontal="center" vertical="center" wrapText="1"/>
    </xf>
    <xf numFmtId="174" fontId="23" fillId="40" borderId="49" xfId="0" applyNumberFormat="1" applyFont="1" applyFill="1" applyBorder="1" applyAlignment="1">
      <alignment horizontal="center" vertical="center" wrapText="1"/>
    </xf>
    <xf numFmtId="174" fontId="23" fillId="40" borderId="69" xfId="0" applyNumberFormat="1" applyFont="1" applyFill="1" applyBorder="1" applyAlignment="1">
      <alignment horizontal="center" vertical="center" wrapText="1"/>
    </xf>
    <xf numFmtId="174" fontId="23" fillId="40" borderId="67" xfId="0" applyNumberFormat="1" applyFont="1" applyFill="1" applyBorder="1" applyAlignment="1">
      <alignment horizontal="center" vertical="center" wrapText="1"/>
    </xf>
    <xf numFmtId="174" fontId="23" fillId="40" borderId="70" xfId="0" applyNumberFormat="1" applyFont="1" applyFill="1" applyBorder="1" applyAlignment="1">
      <alignment horizontal="center" vertical="center" wrapText="1"/>
    </xf>
    <xf numFmtId="174" fontId="23" fillId="40" borderId="68" xfId="0" applyNumberFormat="1" applyFont="1" applyFill="1" applyBorder="1" applyAlignment="1">
      <alignment horizontal="center" vertical="center" wrapText="1"/>
    </xf>
    <xf numFmtId="174" fontId="23" fillId="40" borderId="157" xfId="0" applyNumberFormat="1" applyFont="1" applyFill="1" applyBorder="1" applyAlignment="1">
      <alignment horizontal="center" vertical="center"/>
    </xf>
    <xf numFmtId="167" fontId="23" fillId="40" borderId="70" xfId="0" applyNumberFormat="1" applyFont="1" applyFill="1" applyBorder="1" applyAlignment="1">
      <alignment horizontal="center" vertical="center" wrapText="1"/>
    </xf>
    <xf numFmtId="0" fontId="15" fillId="0" borderId="158" xfId="0" applyFont="1" applyFill="1" applyBorder="1" applyAlignment="1">
      <alignment horizontal="center"/>
    </xf>
    <xf numFmtId="0" fontId="15" fillId="0" borderId="159" xfId="0" applyFont="1" applyFill="1" applyBorder="1" applyAlignment="1">
      <alignment horizontal="center"/>
    </xf>
    <xf numFmtId="0" fontId="15" fillId="0" borderId="159" xfId="0" applyFont="1" applyFill="1" applyBorder="1" applyAlignment="1">
      <alignment horizontal="center" vertical="center"/>
    </xf>
    <xf numFmtId="0" fontId="15" fillId="0" borderId="160" xfId="0" applyFont="1" applyFill="1" applyBorder="1" applyAlignment="1">
      <alignment horizontal="center"/>
    </xf>
    <xf numFmtId="0" fontId="15" fillId="0" borderId="161" xfId="0" applyFont="1" applyFill="1" applyBorder="1" applyAlignment="1">
      <alignment horizontal="center"/>
    </xf>
    <xf numFmtId="0" fontId="15" fillId="0" borderId="162" xfId="0" applyFont="1" applyFill="1" applyBorder="1" applyAlignment="1">
      <alignment horizontal="center"/>
    </xf>
    <xf numFmtId="0" fontId="15" fillId="0" borderId="161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/>
    </xf>
    <xf numFmtId="0" fontId="15" fillId="0" borderId="67" xfId="0" applyFont="1" applyFill="1" applyBorder="1" applyAlignment="1">
      <alignment horizontal="center"/>
    </xf>
    <xf numFmtId="0" fontId="15" fillId="0" borderId="67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/>
    </xf>
    <xf numFmtId="0" fontId="15" fillId="0" borderId="70" xfId="0" applyFont="1" applyFill="1" applyBorder="1" applyAlignment="1">
      <alignment horizontal="center"/>
    </xf>
    <xf numFmtId="0" fontId="15" fillId="0" borderId="157" xfId="0" applyFont="1" applyFill="1" applyBorder="1" applyAlignment="1">
      <alignment horizontal="center"/>
    </xf>
    <xf numFmtId="0" fontId="15" fillId="0" borderId="70" xfId="0" applyFont="1" applyFill="1" applyBorder="1" applyAlignment="1">
      <alignment horizontal="center" vertical="center"/>
    </xf>
    <xf numFmtId="0" fontId="15" fillId="0" borderId="163" xfId="0" applyFont="1" applyFill="1" applyBorder="1" applyAlignment="1">
      <alignment horizontal="center"/>
    </xf>
    <xf numFmtId="1" fontId="15" fillId="0" borderId="164" xfId="0" applyNumberFormat="1" applyFont="1" applyFill="1" applyBorder="1" applyAlignment="1">
      <alignment horizontal="center" vertical="center"/>
    </xf>
    <xf numFmtId="0" fontId="15" fillId="0" borderId="164" xfId="0" applyFont="1" applyFill="1" applyBorder="1" applyAlignment="1">
      <alignment horizontal="center" vertical="center"/>
    </xf>
    <xf numFmtId="0" fontId="15" fillId="0" borderId="165" xfId="0" applyFont="1" applyFill="1" applyBorder="1" applyAlignment="1">
      <alignment horizontal="center"/>
    </xf>
    <xf numFmtId="0" fontId="15" fillId="0" borderId="166" xfId="0" applyFont="1" applyFill="1" applyBorder="1" applyAlignment="1">
      <alignment horizontal="center"/>
    </xf>
    <xf numFmtId="0" fontId="15" fillId="0" borderId="167" xfId="0" applyFont="1" applyFill="1" applyBorder="1" applyAlignment="1">
      <alignment horizontal="center"/>
    </xf>
    <xf numFmtId="0" fontId="15" fillId="0" borderId="166" xfId="0" applyFont="1" applyFill="1" applyBorder="1" applyAlignment="1">
      <alignment horizontal="center" vertical="center"/>
    </xf>
    <xf numFmtId="0" fontId="15" fillId="0" borderId="164" xfId="0" applyFont="1" applyFill="1" applyBorder="1" applyAlignment="1">
      <alignment horizontal="center"/>
    </xf>
    <xf numFmtId="0" fontId="19" fillId="0" borderId="149" xfId="0" applyFont="1" applyFill="1" applyBorder="1" applyAlignment="1">
      <alignment horizontal="center" vertical="center" wrapText="1"/>
    </xf>
    <xf numFmtId="10" fontId="20" fillId="0" borderId="152" xfId="0" applyNumberFormat="1" applyFont="1" applyFill="1" applyBorder="1" applyAlignment="1">
      <alignment horizontal="center" vertical="center" wrapText="1"/>
    </xf>
    <xf numFmtId="174" fontId="19" fillId="0" borderId="149" xfId="0" applyNumberFormat="1" applyFont="1" applyFill="1" applyBorder="1" applyAlignment="1">
      <alignment horizontal="center" vertical="center" wrapText="1"/>
    </xf>
    <xf numFmtId="177" fontId="20" fillId="0" borderId="152" xfId="0" applyNumberFormat="1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15" fillId="0" borderId="50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5" fillId="0" borderId="168" xfId="0" applyFont="1" applyFill="1" applyBorder="1" applyAlignment="1">
      <alignment horizontal="center"/>
    </xf>
    <xf numFmtId="0" fontId="15" fillId="0" borderId="169" xfId="0" applyFont="1" applyFill="1" applyBorder="1" applyAlignment="1">
      <alignment horizontal="center"/>
    </xf>
    <xf numFmtId="0" fontId="15" fillId="0" borderId="170" xfId="0" applyFont="1" applyFill="1" applyBorder="1" applyAlignment="1">
      <alignment horizontal="center"/>
    </xf>
    <xf numFmtId="0" fontId="15" fillId="0" borderId="171" xfId="0" applyFont="1" applyFill="1" applyBorder="1" applyAlignment="1">
      <alignment horizontal="center"/>
    </xf>
    <xf numFmtId="0" fontId="15" fillId="0" borderId="172" xfId="0" applyFont="1" applyFill="1" applyBorder="1" applyAlignment="1">
      <alignment horizontal="center"/>
    </xf>
    <xf numFmtId="0" fontId="15" fillId="0" borderId="173" xfId="0" applyFont="1" applyFill="1" applyBorder="1" applyAlignment="1">
      <alignment horizontal="center"/>
    </xf>
    <xf numFmtId="0" fontId="15" fillId="0" borderId="174" xfId="0" applyFont="1" applyFill="1" applyBorder="1" applyAlignment="1">
      <alignment horizontal="center" vertical="center"/>
    </xf>
    <xf numFmtId="0" fontId="15" fillId="0" borderId="175" xfId="0" applyFont="1" applyFill="1" applyBorder="1" applyAlignment="1">
      <alignment horizontal="center"/>
    </xf>
    <xf numFmtId="0" fontId="15" fillId="0" borderId="176" xfId="0" applyFont="1" applyFill="1" applyBorder="1" applyAlignment="1">
      <alignment horizontal="center"/>
    </xf>
    <xf numFmtId="0" fontId="15" fillId="0" borderId="177" xfId="0" applyFont="1" applyFill="1" applyBorder="1" applyAlignment="1">
      <alignment horizontal="center"/>
    </xf>
    <xf numFmtId="0" fontId="15" fillId="0" borderId="176" xfId="0" applyFont="1" applyFill="1" applyBorder="1" applyAlignment="1">
      <alignment horizontal="center" vertical="center"/>
    </xf>
    <xf numFmtId="0" fontId="15" fillId="0" borderId="173" xfId="0" applyFont="1" applyFill="1" applyBorder="1" applyAlignment="1">
      <alignment horizontal="center" vertical="center"/>
    </xf>
    <xf numFmtId="0" fontId="15" fillId="0" borderId="175" xfId="0" applyFont="1" applyFill="1" applyBorder="1" applyAlignment="1">
      <alignment horizontal="center" vertical="center"/>
    </xf>
    <xf numFmtId="0" fontId="15" fillId="0" borderId="174" xfId="0" applyFont="1" applyFill="1" applyBorder="1" applyAlignment="1">
      <alignment horizontal="center"/>
    </xf>
    <xf numFmtId="0" fontId="15" fillId="0" borderId="178" xfId="0" applyFont="1" applyFill="1" applyBorder="1" applyAlignment="1">
      <alignment horizontal="center"/>
    </xf>
    <xf numFmtId="0" fontId="15" fillId="0" borderId="179" xfId="0" applyFont="1" applyFill="1" applyBorder="1" applyAlignment="1">
      <alignment horizontal="center"/>
    </xf>
    <xf numFmtId="0" fontId="15" fillId="0" borderId="180" xfId="0" applyFont="1" applyFill="1" applyBorder="1" applyAlignment="1">
      <alignment horizontal="center"/>
    </xf>
    <xf numFmtId="0" fontId="15" fillId="0" borderId="181" xfId="0" applyFont="1" applyFill="1" applyBorder="1" applyAlignment="1">
      <alignment horizontal="center"/>
    </xf>
    <xf numFmtId="0" fontId="15" fillId="0" borderId="146" xfId="0" applyFont="1" applyFill="1" applyBorder="1" applyAlignment="1">
      <alignment horizontal="center"/>
    </xf>
    <xf numFmtId="0" fontId="15" fillId="0" borderId="182" xfId="0" applyFont="1" applyFill="1" applyBorder="1" applyAlignment="1">
      <alignment horizontal="center"/>
    </xf>
    <xf numFmtId="0" fontId="15" fillId="0" borderId="148" xfId="0" applyFont="1" applyFill="1" applyBorder="1" applyAlignment="1">
      <alignment horizontal="center"/>
    </xf>
    <xf numFmtId="0" fontId="15" fillId="0" borderId="183" xfId="0" applyFont="1" applyFill="1" applyBorder="1" applyAlignment="1">
      <alignment horizontal="center"/>
    </xf>
    <xf numFmtId="0" fontId="15" fillId="0" borderId="145" xfId="0" applyFont="1" applyFill="1" applyBorder="1" applyAlignment="1">
      <alignment horizontal="center"/>
    </xf>
    <xf numFmtId="0" fontId="15" fillId="0" borderId="184" xfId="0" applyFont="1" applyFill="1" applyBorder="1" applyAlignment="1">
      <alignment horizontal="center"/>
    </xf>
    <xf numFmtId="0" fontId="15" fillId="0" borderId="185" xfId="0" applyFont="1" applyFill="1" applyBorder="1" applyAlignment="1">
      <alignment horizontal="center"/>
    </xf>
    <xf numFmtId="0" fontId="15" fillId="34" borderId="170" xfId="0" applyFont="1" applyFill="1" applyBorder="1" applyAlignment="1">
      <alignment horizontal="center"/>
    </xf>
    <xf numFmtId="0" fontId="15" fillId="34" borderId="169" xfId="0" applyFont="1" applyFill="1" applyBorder="1" applyAlignment="1">
      <alignment horizontal="center"/>
    </xf>
    <xf numFmtId="1" fontId="15" fillId="0" borderId="174" xfId="0" applyNumberFormat="1" applyFont="1" applyFill="1" applyBorder="1" applyAlignment="1">
      <alignment horizontal="center" vertical="center"/>
    </xf>
    <xf numFmtId="0" fontId="15" fillId="0" borderId="186" xfId="0" applyFont="1" applyFill="1" applyBorder="1" applyAlignment="1">
      <alignment horizontal="center"/>
    </xf>
    <xf numFmtId="1" fontId="15" fillId="0" borderId="187" xfId="0" applyNumberFormat="1" applyFont="1" applyFill="1" applyBorder="1" applyAlignment="1">
      <alignment horizontal="center" vertical="center"/>
    </xf>
    <xf numFmtId="0" fontId="15" fillId="0" borderId="187" xfId="0" applyFont="1" applyFill="1" applyBorder="1" applyAlignment="1">
      <alignment horizontal="center"/>
    </xf>
    <xf numFmtId="0" fontId="15" fillId="0" borderId="188" xfId="0" applyFont="1" applyFill="1" applyBorder="1" applyAlignment="1">
      <alignment horizontal="center"/>
    </xf>
    <xf numFmtId="0" fontId="15" fillId="0" borderId="189" xfId="0" applyFont="1" applyFill="1" applyBorder="1" applyAlignment="1">
      <alignment horizontal="center"/>
    </xf>
    <xf numFmtId="0" fontId="15" fillId="0" borderId="190" xfId="0" applyFont="1" applyFill="1" applyBorder="1" applyAlignment="1">
      <alignment horizontal="center"/>
    </xf>
    <xf numFmtId="0" fontId="15" fillId="34" borderId="161" xfId="0" applyFont="1" applyFill="1" applyBorder="1" applyAlignment="1">
      <alignment horizontal="center"/>
    </xf>
    <xf numFmtId="0" fontId="15" fillId="34" borderId="158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5" fillId="34" borderId="176" xfId="0" applyFont="1" applyFill="1" applyBorder="1" applyAlignment="1">
      <alignment horizontal="center"/>
    </xf>
    <xf numFmtId="0" fontId="15" fillId="34" borderId="173" xfId="0" applyFont="1" applyFill="1" applyBorder="1" applyAlignment="1">
      <alignment horizontal="center"/>
    </xf>
    <xf numFmtId="0" fontId="19" fillId="0" borderId="178" xfId="0" applyFont="1" applyFill="1" applyBorder="1" applyAlignment="1">
      <alignment horizontal="center" vertical="center" wrapText="1"/>
    </xf>
    <xf numFmtId="10" fontId="20" fillId="0" borderId="191" xfId="0" applyNumberFormat="1" applyFont="1" applyFill="1" applyBorder="1" applyAlignment="1">
      <alignment horizontal="center" vertical="center" wrapText="1"/>
    </xf>
    <xf numFmtId="174" fontId="19" fillId="0" borderId="178" xfId="0" applyNumberFormat="1" applyFont="1" applyFill="1" applyBorder="1" applyAlignment="1">
      <alignment horizontal="center" vertical="center" wrapText="1"/>
    </xf>
    <xf numFmtId="177" fontId="20" fillId="0" borderId="191" xfId="0" applyNumberFormat="1" applyFont="1" applyFill="1" applyBorder="1" applyAlignment="1">
      <alignment horizontal="center" vertical="center" wrapText="1"/>
    </xf>
    <xf numFmtId="0" fontId="15" fillId="0" borderId="192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5" fillId="0" borderId="193" xfId="0" applyFont="1" applyFill="1" applyBorder="1" applyAlignment="1">
      <alignment horizontal="center"/>
    </xf>
    <xf numFmtId="0" fontId="15" fillId="0" borderId="194" xfId="0" applyFont="1" applyFill="1" applyBorder="1" applyAlignment="1">
      <alignment horizontal="center"/>
    </xf>
    <xf numFmtId="0" fontId="15" fillId="0" borderId="195" xfId="0" applyFont="1" applyFill="1" applyBorder="1" applyAlignment="1">
      <alignment horizontal="center"/>
    </xf>
    <xf numFmtId="0" fontId="24" fillId="0" borderId="196" xfId="0" applyFont="1" applyBorder="1" applyAlignment="1">
      <alignment horizontal="center" vertical="center"/>
    </xf>
    <xf numFmtId="0" fontId="25" fillId="0" borderId="197" xfId="0" applyFont="1" applyBorder="1" applyAlignment="1">
      <alignment horizontal="center" vertical="center"/>
    </xf>
    <xf numFmtId="174" fontId="24" fillId="0" borderId="198" xfId="0" applyNumberFormat="1" applyFont="1" applyBorder="1" applyAlignment="1">
      <alignment horizontal="center" vertical="center"/>
    </xf>
    <xf numFmtId="174" fontId="25" fillId="0" borderId="199" xfId="0" applyNumberFormat="1" applyFont="1" applyBorder="1" applyAlignment="1">
      <alignment horizontal="center" vertical="center"/>
    </xf>
    <xf numFmtId="0" fontId="23" fillId="0" borderId="200" xfId="0" applyFont="1" applyBorder="1" applyAlignment="1">
      <alignment horizontal="center" vertical="center"/>
    </xf>
    <xf numFmtId="0" fontId="23" fillId="0" borderId="127" xfId="0" applyFont="1" applyBorder="1" applyAlignment="1">
      <alignment horizontal="center" vertical="center"/>
    </xf>
    <xf numFmtId="0" fontId="23" fillId="0" borderId="201" xfId="0" applyFont="1" applyBorder="1" applyAlignment="1">
      <alignment horizontal="center" vertical="center"/>
    </xf>
    <xf numFmtId="0" fontId="23" fillId="0" borderId="202" xfId="0" applyFont="1" applyBorder="1" applyAlignment="1">
      <alignment horizontal="center" vertical="center"/>
    </xf>
    <xf numFmtId="0" fontId="23" fillId="0" borderId="203" xfId="0" applyFont="1" applyBorder="1" applyAlignment="1">
      <alignment horizontal="center" vertical="center"/>
    </xf>
    <xf numFmtId="0" fontId="23" fillId="0" borderId="127" xfId="0" applyFont="1" applyFill="1" applyBorder="1" applyAlignment="1">
      <alignment horizontal="center" vertical="center"/>
    </xf>
    <xf numFmtId="3" fontId="26" fillId="0" borderId="204" xfId="0" applyNumberFormat="1" applyFont="1" applyBorder="1" applyAlignment="1">
      <alignment horizontal="center" vertical="center"/>
    </xf>
    <xf numFmtId="174" fontId="27" fillId="38" borderId="205" xfId="0" applyNumberFormat="1" applyFont="1" applyFill="1" applyBorder="1" applyAlignment="1">
      <alignment horizontal="center" vertical="center"/>
    </xf>
    <xf numFmtId="177" fontId="27" fillId="0" borderId="206" xfId="0" applyNumberFormat="1" applyFont="1" applyBorder="1" applyAlignment="1">
      <alignment horizontal="center" vertical="center"/>
    </xf>
    <xf numFmtId="174" fontId="26" fillId="38" borderId="204" xfId="0" applyNumberFormat="1" applyFont="1" applyFill="1" applyBorder="1" applyAlignment="1">
      <alignment horizontal="center" vertical="center"/>
    </xf>
    <xf numFmtId="174" fontId="26" fillId="38" borderId="115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106" xfId="0" applyFont="1" applyBorder="1" applyAlignment="1">
      <alignment horizontal="center"/>
    </xf>
    <xf numFmtId="0" fontId="15" fillId="0" borderId="0" xfId="0" applyFont="1" applyAlignment="1">
      <alignment horizontal="center"/>
    </xf>
    <xf numFmtId="9" fontId="15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33" fillId="0" borderId="0" xfId="0" applyFont="1" applyAlignment="1">
      <alignment horizontal="left" indent="4"/>
    </xf>
    <xf numFmtId="0" fontId="20" fillId="0" borderId="51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/>
    </xf>
    <xf numFmtId="0" fontId="22" fillId="40" borderId="154" xfId="0" applyFont="1" applyFill="1" applyBorder="1" applyAlignment="1">
      <alignment horizontal="center" vertical="center" wrapText="1"/>
    </xf>
    <xf numFmtId="0" fontId="22" fillId="40" borderId="207" xfId="0" applyFont="1" applyFill="1" applyBorder="1" applyAlignment="1">
      <alignment horizontal="center" vertical="center" wrapText="1"/>
    </xf>
    <xf numFmtId="176" fontId="23" fillId="40" borderId="69" xfId="0" applyNumberFormat="1" applyFont="1" applyFill="1" applyBorder="1" applyAlignment="1">
      <alignment horizontal="center" vertical="center" wrapText="1"/>
    </xf>
    <xf numFmtId="176" fontId="23" fillId="40" borderId="67" xfId="0" applyNumberFormat="1" applyFont="1" applyFill="1" applyBorder="1" applyAlignment="1">
      <alignment horizontal="center" vertical="center" wrapText="1"/>
    </xf>
    <xf numFmtId="176" fontId="23" fillId="40" borderId="68" xfId="0" applyNumberFormat="1" applyFont="1" applyFill="1" applyBorder="1" applyAlignment="1">
      <alignment horizontal="center" vertical="center" wrapText="1"/>
    </xf>
    <xf numFmtId="176" fontId="23" fillId="40" borderId="51" xfId="0" applyNumberFormat="1" applyFont="1" applyFill="1" applyBorder="1" applyAlignment="1">
      <alignment horizontal="center" vertical="center" wrapText="1"/>
    </xf>
    <xf numFmtId="176" fontId="23" fillId="40" borderId="70" xfId="0" applyNumberFormat="1" applyFont="1" applyFill="1" applyBorder="1" applyAlignment="1">
      <alignment horizontal="center" vertical="center" wrapText="1"/>
    </xf>
    <xf numFmtId="176" fontId="23" fillId="40" borderId="157" xfId="0" applyNumberFormat="1" applyFont="1" applyFill="1" applyBorder="1" applyAlignment="1">
      <alignment horizontal="center" vertical="center"/>
    </xf>
    <xf numFmtId="1" fontId="15" fillId="0" borderId="159" xfId="0" applyNumberFormat="1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/>
    </xf>
    <xf numFmtId="0" fontId="15" fillId="0" borderId="147" xfId="0" applyFont="1" applyFill="1" applyBorder="1" applyAlignment="1">
      <alignment horizontal="center"/>
    </xf>
    <xf numFmtId="49" fontId="15" fillId="0" borderId="159" xfId="0" applyNumberFormat="1" applyFont="1" applyFill="1" applyBorder="1" applyAlignment="1">
      <alignment horizontal="center"/>
    </xf>
    <xf numFmtId="49" fontId="15" fillId="0" borderId="186" xfId="0" applyNumberFormat="1" applyFont="1" applyFill="1" applyBorder="1" applyAlignment="1">
      <alignment horizontal="center"/>
    </xf>
    <xf numFmtId="49" fontId="15" fillId="0" borderId="180" xfId="0" applyNumberFormat="1" applyFont="1" applyFill="1" applyBorder="1" applyAlignment="1">
      <alignment horizontal="center"/>
    </xf>
    <xf numFmtId="0" fontId="15" fillId="0" borderId="208" xfId="0" applyFont="1" applyFill="1" applyBorder="1" applyAlignment="1">
      <alignment horizontal="center"/>
    </xf>
    <xf numFmtId="0" fontId="15" fillId="34" borderId="159" xfId="0" applyFont="1" applyFill="1" applyBorder="1" applyAlignment="1">
      <alignment horizontal="center"/>
    </xf>
    <xf numFmtId="0" fontId="15" fillId="34" borderId="68" xfId="0" applyFont="1" applyFill="1" applyBorder="1" applyAlignment="1">
      <alignment horizontal="center"/>
    </xf>
    <xf numFmtId="49" fontId="15" fillId="0" borderId="158" xfId="0" applyNumberFormat="1" applyFont="1" applyFill="1" applyBorder="1" applyAlignment="1">
      <alignment horizontal="center"/>
    </xf>
    <xf numFmtId="0" fontId="15" fillId="0" borderId="209" xfId="0" applyFont="1" applyFill="1" applyBorder="1" applyAlignment="1">
      <alignment horizontal="center"/>
    </xf>
    <xf numFmtId="0" fontId="15" fillId="0" borderId="210" xfId="0" applyFont="1" applyFill="1" applyBorder="1" applyAlignment="1">
      <alignment horizontal="center"/>
    </xf>
    <xf numFmtId="0" fontId="23" fillId="0" borderId="201" xfId="0" applyFont="1" applyFill="1" applyBorder="1" applyAlignment="1">
      <alignment horizontal="center" vertical="center"/>
    </xf>
    <xf numFmtId="0" fontId="23" fillId="0" borderId="202" xfId="0" applyFont="1" applyFill="1" applyBorder="1" applyAlignment="1">
      <alignment horizontal="center" vertical="center"/>
    </xf>
    <xf numFmtId="0" fontId="23" fillId="0" borderId="200" xfId="0" applyFont="1" applyFill="1" applyBorder="1" applyAlignment="1">
      <alignment horizontal="center" vertical="center"/>
    </xf>
    <xf numFmtId="0" fontId="23" fillId="0" borderId="203" xfId="0" applyFont="1" applyFill="1" applyBorder="1" applyAlignment="1">
      <alignment horizontal="center" vertical="center"/>
    </xf>
    <xf numFmtId="176" fontId="26" fillId="38" borderId="204" xfId="0" applyNumberFormat="1" applyFont="1" applyFill="1" applyBorder="1" applyAlignment="1">
      <alignment horizontal="center" vertical="center"/>
    </xf>
    <xf numFmtId="174" fontId="27" fillId="38" borderId="211" xfId="0" applyNumberFormat="1" applyFont="1" applyFill="1" applyBorder="1" applyAlignment="1">
      <alignment horizontal="center" vertical="center"/>
    </xf>
    <xf numFmtId="174" fontId="27" fillId="38" borderId="97" xfId="0" applyNumberFormat="1" applyFont="1" applyFill="1" applyBorder="1" applyAlignment="1">
      <alignment horizontal="center" vertical="center"/>
    </xf>
    <xf numFmtId="176" fontId="26" fillId="38" borderId="115" xfId="0" applyNumberFormat="1" applyFont="1" applyFill="1" applyBorder="1" applyAlignment="1">
      <alignment horizontal="center" vertical="center"/>
    </xf>
    <xf numFmtId="0" fontId="19" fillId="0" borderId="145" xfId="0" applyFont="1" applyBorder="1" applyAlignment="1">
      <alignment horizontal="center" vertical="center" wrapText="1"/>
    </xf>
    <xf numFmtId="0" fontId="19" fillId="0" borderId="146" xfId="0" applyFont="1" applyBorder="1" applyAlignment="1">
      <alignment horizontal="center" vertical="center" wrapText="1"/>
    </xf>
    <xf numFmtId="0" fontId="19" fillId="0" borderId="147" xfId="0" applyFont="1" applyBorder="1" applyAlignment="1">
      <alignment horizontal="center" vertical="center" wrapText="1"/>
    </xf>
    <xf numFmtId="0" fontId="19" fillId="0" borderId="181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146" xfId="0" applyFont="1" applyFill="1" applyBorder="1" applyAlignment="1">
      <alignment horizontal="center" vertical="center" wrapText="1"/>
    </xf>
    <xf numFmtId="0" fontId="19" fillId="0" borderId="148" xfId="0" applyFont="1" applyBorder="1" applyAlignment="1">
      <alignment horizontal="center" vertical="center" wrapText="1"/>
    </xf>
    <xf numFmtId="0" fontId="19" fillId="0" borderId="149" xfId="0" applyFont="1" applyBorder="1" applyAlignment="1">
      <alignment horizontal="center" vertical="center" wrapText="1"/>
    </xf>
    <xf numFmtId="0" fontId="19" fillId="0" borderId="150" xfId="0" applyFont="1" applyBorder="1" applyAlignment="1">
      <alignment horizontal="center" vertical="center" wrapText="1"/>
    </xf>
    <xf numFmtId="0" fontId="19" fillId="0" borderId="151" xfId="0" applyFont="1" applyBorder="1" applyAlignment="1">
      <alignment horizontal="center" vertical="center" wrapText="1"/>
    </xf>
    <xf numFmtId="0" fontId="20" fillId="0" borderId="15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13" borderId="153" xfId="0" applyFont="1" applyFill="1" applyBorder="1" applyAlignment="1">
      <alignment horizontal="center" vertical="center" wrapText="1"/>
    </xf>
    <xf numFmtId="0" fontId="21" fillId="13" borderId="154" xfId="0" applyFont="1" applyFill="1" applyBorder="1" applyAlignment="1">
      <alignment horizontal="center" vertical="center" wrapText="1"/>
    </xf>
    <xf numFmtId="0" fontId="22" fillId="13" borderId="155" xfId="0" applyFont="1" applyFill="1" applyBorder="1" applyAlignment="1">
      <alignment horizontal="center" vertical="center" wrapText="1"/>
    </xf>
    <xf numFmtId="0" fontId="22" fillId="13" borderId="154" xfId="0" applyFont="1" applyFill="1" applyBorder="1" applyAlignment="1">
      <alignment horizontal="center" vertical="center" wrapText="1"/>
    </xf>
    <xf numFmtId="0" fontId="22" fillId="13" borderId="207" xfId="0" applyFont="1" applyFill="1" applyBorder="1" applyAlignment="1">
      <alignment horizontal="center" vertical="center" wrapText="1"/>
    </xf>
    <xf numFmtId="176" fontId="23" fillId="13" borderId="69" xfId="0" applyNumberFormat="1" applyFont="1" applyFill="1" applyBorder="1" applyAlignment="1">
      <alignment horizontal="center" vertical="center" wrapText="1"/>
    </xf>
    <xf numFmtId="176" fontId="23" fillId="13" borderId="67" xfId="0" applyNumberFormat="1" applyFont="1" applyFill="1" applyBorder="1" applyAlignment="1">
      <alignment horizontal="center" vertical="center" wrapText="1"/>
    </xf>
    <xf numFmtId="176" fontId="23" fillId="13" borderId="68" xfId="0" applyNumberFormat="1" applyFont="1" applyFill="1" applyBorder="1" applyAlignment="1">
      <alignment horizontal="center" vertical="center" wrapText="1"/>
    </xf>
    <xf numFmtId="176" fontId="23" fillId="13" borderId="149" xfId="0" applyNumberFormat="1" applyFont="1" applyFill="1" applyBorder="1" applyAlignment="1">
      <alignment horizontal="center" vertical="center" wrapText="1"/>
    </xf>
    <xf numFmtId="176" fontId="23" fillId="13" borderId="70" xfId="0" applyNumberFormat="1" applyFont="1" applyFill="1" applyBorder="1" applyAlignment="1">
      <alignment horizontal="center" vertical="center" wrapText="1"/>
    </xf>
    <xf numFmtId="176" fontId="23" fillId="13" borderId="157" xfId="0" applyNumberFormat="1" applyFont="1" applyFill="1" applyBorder="1" applyAlignment="1">
      <alignment horizontal="center" vertical="center"/>
    </xf>
    <xf numFmtId="0" fontId="15" fillId="0" borderId="158" xfId="0" applyFont="1" applyFill="1" applyBorder="1" applyAlignment="1">
      <alignment horizontal="center"/>
    </xf>
    <xf numFmtId="0" fontId="15" fillId="0" borderId="159" xfId="0" applyFont="1" applyFill="1" applyBorder="1" applyAlignment="1">
      <alignment horizontal="center"/>
    </xf>
    <xf numFmtId="0" fontId="15" fillId="0" borderId="159" xfId="0" applyFont="1" applyFill="1" applyBorder="1" applyAlignment="1">
      <alignment horizontal="center" vertical="center"/>
    </xf>
    <xf numFmtId="0" fontId="15" fillId="0" borderId="160" xfId="0" applyFont="1" applyFill="1" applyBorder="1" applyAlignment="1">
      <alignment horizontal="center"/>
    </xf>
    <xf numFmtId="0" fontId="15" fillId="0" borderId="178" xfId="0" applyFont="1" applyFill="1" applyBorder="1" applyAlignment="1">
      <alignment horizontal="center"/>
    </xf>
    <xf numFmtId="0" fontId="15" fillId="0" borderId="161" xfId="0" applyFont="1" applyFill="1" applyBorder="1" applyAlignment="1">
      <alignment horizontal="center"/>
    </xf>
    <xf numFmtId="0" fontId="15" fillId="0" borderId="162" xfId="0" applyFont="1" applyFill="1" applyBorder="1" applyAlignment="1">
      <alignment horizontal="center"/>
    </xf>
    <xf numFmtId="0" fontId="15" fillId="0" borderId="69" xfId="0" applyFont="1" applyFill="1" applyBorder="1" applyAlignment="1">
      <alignment horizontal="center"/>
    </xf>
    <xf numFmtId="0" fontId="15" fillId="0" borderId="67" xfId="0" applyFont="1" applyFill="1" applyBorder="1" applyAlignment="1">
      <alignment horizontal="center"/>
    </xf>
    <xf numFmtId="0" fontId="15" fillId="0" borderId="67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/>
    </xf>
    <xf numFmtId="0" fontId="15" fillId="0" borderId="55" xfId="0" applyFont="1" applyFill="1" applyBorder="1" applyAlignment="1">
      <alignment horizontal="center"/>
    </xf>
    <xf numFmtId="0" fontId="15" fillId="0" borderId="70" xfId="0" applyFont="1" applyFill="1" applyBorder="1" applyAlignment="1">
      <alignment horizontal="center"/>
    </xf>
    <xf numFmtId="0" fontId="15" fillId="0" borderId="157" xfId="0" applyFont="1" applyFill="1" applyBorder="1" applyAlignment="1">
      <alignment horizontal="center"/>
    </xf>
    <xf numFmtId="0" fontId="15" fillId="0" borderId="163" xfId="0" applyFont="1" applyFill="1" applyBorder="1" applyAlignment="1">
      <alignment horizontal="center"/>
    </xf>
    <xf numFmtId="1" fontId="15" fillId="0" borderId="164" xfId="0" applyNumberFormat="1" applyFont="1" applyFill="1" applyBorder="1" applyAlignment="1">
      <alignment horizontal="center" vertical="center"/>
    </xf>
    <xf numFmtId="0" fontId="15" fillId="0" borderId="164" xfId="0" applyFont="1" applyFill="1" applyBorder="1" applyAlignment="1">
      <alignment horizontal="center" vertical="center"/>
    </xf>
    <xf numFmtId="0" fontId="15" fillId="0" borderId="165" xfId="0" applyFont="1" applyFill="1" applyBorder="1" applyAlignment="1">
      <alignment horizontal="center"/>
    </xf>
    <xf numFmtId="0" fontId="15" fillId="0" borderId="212" xfId="0" applyFont="1" applyFill="1" applyBorder="1" applyAlignment="1">
      <alignment horizontal="center"/>
    </xf>
    <xf numFmtId="0" fontId="15" fillId="0" borderId="166" xfId="0" applyFont="1" applyFill="1" applyBorder="1" applyAlignment="1">
      <alignment horizontal="center"/>
    </xf>
    <xf numFmtId="0" fontId="15" fillId="0" borderId="167" xfId="0" applyFont="1" applyFill="1" applyBorder="1" applyAlignment="1">
      <alignment horizontal="center"/>
    </xf>
    <xf numFmtId="0" fontId="15" fillId="0" borderId="164" xfId="0" applyFont="1" applyFill="1" applyBorder="1" applyAlignment="1">
      <alignment horizontal="center"/>
    </xf>
    <xf numFmtId="0" fontId="15" fillId="0" borderId="180" xfId="0" applyFont="1" applyFill="1" applyBorder="1" applyAlignment="1">
      <alignment horizontal="center"/>
    </xf>
    <xf numFmtId="1" fontId="15" fillId="0" borderId="159" xfId="0" applyNumberFormat="1" applyFont="1" applyFill="1" applyBorder="1" applyAlignment="1">
      <alignment horizontal="center" vertical="center"/>
    </xf>
    <xf numFmtId="0" fontId="15" fillId="0" borderId="193" xfId="0" applyFont="1" applyFill="1" applyBorder="1" applyAlignment="1">
      <alignment horizontal="center"/>
    </xf>
    <xf numFmtId="1" fontId="15" fillId="0" borderId="174" xfId="0" applyNumberFormat="1" applyFont="1" applyFill="1" applyBorder="1" applyAlignment="1">
      <alignment horizontal="center" vertical="center"/>
    </xf>
    <xf numFmtId="0" fontId="15" fillId="0" borderId="174" xfId="0" applyFont="1" applyFill="1" applyBorder="1" applyAlignment="1">
      <alignment horizontal="center" vertical="center"/>
    </xf>
    <xf numFmtId="0" fontId="15" fillId="0" borderId="175" xfId="0" applyFont="1" applyFill="1" applyBorder="1" applyAlignment="1">
      <alignment horizontal="center"/>
    </xf>
    <xf numFmtId="0" fontId="15" fillId="0" borderId="213" xfId="0" applyFont="1" applyFill="1" applyBorder="1" applyAlignment="1">
      <alignment horizontal="center"/>
    </xf>
    <xf numFmtId="0" fontId="15" fillId="0" borderId="176" xfId="0" applyFont="1" applyFill="1" applyBorder="1" applyAlignment="1">
      <alignment horizontal="center"/>
    </xf>
    <xf numFmtId="0" fontId="15" fillId="0" borderId="173" xfId="0" applyFont="1" applyFill="1" applyBorder="1" applyAlignment="1">
      <alignment horizontal="center"/>
    </xf>
    <xf numFmtId="0" fontId="15" fillId="0" borderId="177" xfId="0" applyFont="1" applyFill="1" applyBorder="1" applyAlignment="1">
      <alignment horizontal="center"/>
    </xf>
    <xf numFmtId="0" fontId="15" fillId="0" borderId="174" xfId="0" applyFont="1" applyFill="1" applyBorder="1" applyAlignment="1">
      <alignment horizontal="center"/>
    </xf>
    <xf numFmtId="0" fontId="15" fillId="0" borderId="54" xfId="0" applyFont="1" applyFill="1" applyBorder="1" applyAlignment="1">
      <alignment horizontal="center"/>
    </xf>
    <xf numFmtId="0" fontId="15" fillId="0" borderId="146" xfId="0" applyFont="1" applyFill="1" applyBorder="1" applyAlignment="1">
      <alignment horizontal="center"/>
    </xf>
    <xf numFmtId="0" fontId="15" fillId="0" borderId="147" xfId="0" applyFont="1" applyFill="1" applyBorder="1" applyAlignment="1">
      <alignment horizontal="center"/>
    </xf>
    <xf numFmtId="0" fontId="15" fillId="0" borderId="181" xfId="0" applyFont="1" applyFill="1" applyBorder="1" applyAlignment="1">
      <alignment horizontal="center"/>
    </xf>
    <xf numFmtId="0" fontId="15" fillId="0" borderId="148" xfId="0" applyFont="1" applyFill="1" applyBorder="1" applyAlignment="1">
      <alignment horizontal="center"/>
    </xf>
    <xf numFmtId="0" fontId="15" fillId="0" borderId="183" xfId="0" applyFont="1" applyFill="1" applyBorder="1" applyAlignment="1">
      <alignment horizontal="center"/>
    </xf>
    <xf numFmtId="0" fontId="15" fillId="0" borderId="168" xfId="0" applyFont="1" applyFill="1" applyBorder="1" applyAlignment="1">
      <alignment horizontal="center"/>
    </xf>
    <xf numFmtId="0" fontId="15" fillId="0" borderId="169" xfId="0" applyFont="1" applyFill="1" applyBorder="1" applyAlignment="1">
      <alignment horizontal="center"/>
    </xf>
    <xf numFmtId="0" fontId="15" fillId="0" borderId="170" xfId="0" applyFont="1" applyFill="1" applyBorder="1" applyAlignment="1">
      <alignment horizontal="center"/>
    </xf>
    <xf numFmtId="0" fontId="15" fillId="0" borderId="214" xfId="0" applyFont="1" applyFill="1" applyBorder="1" applyAlignment="1">
      <alignment horizontal="center"/>
    </xf>
    <xf numFmtId="0" fontId="15" fillId="0" borderId="171" xfId="0" applyFont="1" applyFill="1" applyBorder="1" applyAlignment="1">
      <alignment horizontal="center"/>
    </xf>
    <xf numFmtId="0" fontId="15" fillId="0" borderId="172" xfId="0" applyFont="1" applyFill="1" applyBorder="1" applyAlignment="1">
      <alignment horizontal="center"/>
    </xf>
    <xf numFmtId="0" fontId="15" fillId="0" borderId="173" xfId="0" applyFont="1" applyFill="1" applyBorder="1" applyAlignment="1">
      <alignment horizontal="center" vertical="center"/>
    </xf>
    <xf numFmtId="0" fontId="15" fillId="0" borderId="175" xfId="0" applyFont="1" applyFill="1" applyBorder="1" applyAlignment="1">
      <alignment horizontal="center" vertical="center"/>
    </xf>
    <xf numFmtId="0" fontId="15" fillId="0" borderId="179" xfId="0" applyFont="1" applyFill="1" applyBorder="1" applyAlignment="1">
      <alignment horizontal="center"/>
    </xf>
    <xf numFmtId="0" fontId="15" fillId="8" borderId="179" xfId="0" applyFont="1" applyFill="1" applyBorder="1" applyAlignment="1">
      <alignment horizontal="center"/>
    </xf>
    <xf numFmtId="0" fontId="15" fillId="0" borderId="194" xfId="0" applyFont="1" applyFill="1" applyBorder="1" applyAlignment="1">
      <alignment horizontal="center"/>
    </xf>
    <xf numFmtId="0" fontId="19" fillId="0" borderId="181" xfId="0" applyFont="1" applyFill="1" applyBorder="1" applyAlignment="1">
      <alignment horizontal="center" vertical="center" wrapText="1"/>
    </xf>
    <xf numFmtId="0" fontId="15" fillId="0" borderId="182" xfId="0" applyFont="1" applyFill="1" applyBorder="1" applyAlignment="1">
      <alignment horizontal="center"/>
    </xf>
    <xf numFmtId="0" fontId="15" fillId="0" borderId="145" xfId="0" applyFont="1" applyFill="1" applyBorder="1" applyAlignment="1">
      <alignment horizontal="center"/>
    </xf>
    <xf numFmtId="0" fontId="15" fillId="0" borderId="185" xfId="0" applyFont="1" applyFill="1" applyBorder="1" applyAlignment="1">
      <alignment horizontal="center"/>
    </xf>
    <xf numFmtId="0" fontId="15" fillId="0" borderId="192" xfId="0" applyFont="1" applyFill="1" applyBorder="1" applyAlignment="1">
      <alignment horizontal="center"/>
    </xf>
    <xf numFmtId="49" fontId="15" fillId="0" borderId="159" xfId="0" applyNumberFormat="1" applyFont="1" applyFill="1" applyBorder="1" applyAlignment="1">
      <alignment horizontal="center"/>
    </xf>
    <xf numFmtId="0" fontId="15" fillId="0" borderId="186" xfId="0" applyFont="1" applyFill="1" applyBorder="1" applyAlignment="1">
      <alignment horizontal="center"/>
    </xf>
    <xf numFmtId="0" fontId="15" fillId="0" borderId="187" xfId="0" applyFont="1" applyFill="1" applyBorder="1" applyAlignment="1">
      <alignment horizontal="center"/>
    </xf>
    <xf numFmtId="0" fontId="15" fillId="0" borderId="188" xfId="0" applyFont="1" applyFill="1" applyBorder="1" applyAlignment="1">
      <alignment horizontal="center"/>
    </xf>
    <xf numFmtId="0" fontId="15" fillId="0" borderId="215" xfId="0" applyFont="1" applyFill="1" applyBorder="1" applyAlignment="1">
      <alignment horizontal="center"/>
    </xf>
    <xf numFmtId="0" fontId="15" fillId="0" borderId="189" xfId="0" applyFont="1" applyFill="1" applyBorder="1" applyAlignment="1">
      <alignment horizontal="center"/>
    </xf>
    <xf numFmtId="0" fontId="15" fillId="0" borderId="190" xfId="0" applyFont="1" applyFill="1" applyBorder="1" applyAlignment="1">
      <alignment horizontal="center"/>
    </xf>
    <xf numFmtId="49" fontId="15" fillId="0" borderId="186" xfId="0" applyNumberFormat="1" applyFont="1" applyFill="1" applyBorder="1" applyAlignment="1">
      <alignment horizontal="center"/>
    </xf>
    <xf numFmtId="49" fontId="15" fillId="0" borderId="180" xfId="0" applyNumberFormat="1" applyFont="1" applyFill="1" applyBorder="1" applyAlignment="1">
      <alignment horizontal="center"/>
    </xf>
    <xf numFmtId="0" fontId="15" fillId="8" borderId="158" xfId="0" applyFont="1" applyFill="1" applyBorder="1" applyAlignment="1">
      <alignment horizontal="center"/>
    </xf>
    <xf numFmtId="49" fontId="15" fillId="0" borderId="158" xfId="0" applyNumberFormat="1" applyFont="1" applyFill="1" applyBorder="1" applyAlignment="1">
      <alignment horizontal="center"/>
    </xf>
    <xf numFmtId="0" fontId="15" fillId="8" borderId="173" xfId="0" applyFont="1" applyFill="1" applyBorder="1" applyAlignment="1">
      <alignment horizontal="center"/>
    </xf>
    <xf numFmtId="0" fontId="15" fillId="0" borderId="208" xfId="0" applyFont="1" applyFill="1" applyBorder="1" applyAlignment="1">
      <alignment horizontal="center"/>
    </xf>
    <xf numFmtId="0" fontId="15" fillId="0" borderId="209" xfId="0" applyFont="1" applyFill="1" applyBorder="1" applyAlignment="1">
      <alignment horizontal="center"/>
    </xf>
    <xf numFmtId="0" fontId="15" fillId="0" borderId="210" xfId="0" applyFont="1" applyFill="1" applyBorder="1" applyAlignment="1">
      <alignment horizontal="center"/>
    </xf>
    <xf numFmtId="0" fontId="15" fillId="0" borderId="195" xfId="0" applyFont="1" applyFill="1" applyBorder="1" applyAlignment="1">
      <alignment horizontal="center"/>
    </xf>
    <xf numFmtId="0" fontId="24" fillId="0" borderId="196" xfId="0" applyFont="1" applyFill="1" applyBorder="1" applyAlignment="1">
      <alignment horizontal="center" vertical="center"/>
    </xf>
    <xf numFmtId="0" fontId="25" fillId="0" borderId="197" xfId="0" applyFont="1" applyFill="1" applyBorder="1" applyAlignment="1">
      <alignment horizontal="center" vertical="center"/>
    </xf>
    <xf numFmtId="174" fontId="24" fillId="0" borderId="198" xfId="0" applyNumberFormat="1" applyFont="1" applyFill="1" applyBorder="1" applyAlignment="1">
      <alignment horizontal="center" vertical="center"/>
    </xf>
    <xf numFmtId="174" fontId="25" fillId="0" borderId="199" xfId="0" applyNumberFormat="1" applyFont="1" applyFill="1" applyBorder="1" applyAlignment="1">
      <alignment horizontal="center" vertical="center"/>
    </xf>
    <xf numFmtId="0" fontId="23" fillId="0" borderId="200" xfId="0" applyFont="1" applyFill="1" applyBorder="1" applyAlignment="1">
      <alignment horizontal="center" vertical="center"/>
    </xf>
    <xf numFmtId="0" fontId="23" fillId="0" borderId="127" xfId="0" applyFont="1" applyFill="1" applyBorder="1" applyAlignment="1">
      <alignment horizontal="center" vertical="center"/>
    </xf>
    <xf numFmtId="0" fontId="23" fillId="0" borderId="201" xfId="0" applyFont="1" applyFill="1" applyBorder="1" applyAlignment="1">
      <alignment horizontal="center" vertical="center"/>
    </xf>
    <xf numFmtId="0" fontId="23" fillId="0" borderId="216" xfId="0" applyFont="1" applyFill="1" applyBorder="1" applyAlignment="1">
      <alignment horizontal="center" vertical="center"/>
    </xf>
    <xf numFmtId="0" fontId="23" fillId="0" borderId="203" xfId="0" applyFont="1" applyFill="1" applyBorder="1" applyAlignment="1">
      <alignment horizontal="center" vertical="center"/>
    </xf>
    <xf numFmtId="0" fontId="23" fillId="0" borderId="202" xfId="0" applyFont="1" applyFill="1" applyBorder="1" applyAlignment="1">
      <alignment horizontal="center" vertical="center"/>
    </xf>
    <xf numFmtId="3" fontId="21" fillId="41" borderId="204" xfId="0" applyNumberFormat="1" applyFont="1" applyFill="1" applyBorder="1" applyAlignment="1">
      <alignment horizontal="center" vertical="center"/>
    </xf>
    <xf numFmtId="174" fontId="22" fillId="41" borderId="205" xfId="0" applyNumberFormat="1" applyFont="1" applyFill="1" applyBorder="1" applyAlignment="1">
      <alignment horizontal="center" vertical="center"/>
    </xf>
    <xf numFmtId="177" fontId="22" fillId="41" borderId="206" xfId="0" applyNumberFormat="1" applyFont="1" applyFill="1" applyBorder="1" applyAlignment="1">
      <alignment horizontal="center" vertical="center"/>
    </xf>
    <xf numFmtId="176" fontId="21" fillId="41" borderId="204" xfId="0" applyNumberFormat="1" applyFont="1" applyFill="1" applyBorder="1" applyAlignment="1">
      <alignment horizontal="center" vertical="center"/>
    </xf>
    <xf numFmtId="174" fontId="22" fillId="41" borderId="211" xfId="0" applyNumberFormat="1" applyFont="1" applyFill="1" applyBorder="1" applyAlignment="1">
      <alignment horizontal="center" vertical="center"/>
    </xf>
    <xf numFmtId="174" fontId="22" fillId="41" borderId="97" xfId="0" applyNumberFormat="1" applyFont="1" applyFill="1" applyBorder="1" applyAlignment="1">
      <alignment horizontal="center" vertical="center"/>
    </xf>
    <xf numFmtId="176" fontId="21" fillId="41" borderId="115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106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9" fontId="15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0" fontId="36" fillId="0" borderId="53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5" fillId="0" borderId="160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/>
    </xf>
    <xf numFmtId="0" fontId="15" fillId="0" borderId="165" xfId="0" applyFont="1" applyFill="1" applyBorder="1" applyAlignment="1">
      <alignment horizontal="center" vertical="center"/>
    </xf>
    <xf numFmtId="0" fontId="15" fillId="0" borderId="193" xfId="0" applyFont="1" applyFill="1" applyBorder="1" applyAlignment="1">
      <alignment horizontal="center" vertical="center"/>
    </xf>
    <xf numFmtId="0" fontId="15" fillId="0" borderId="176" xfId="0" applyFont="1" applyFill="1" applyBorder="1" applyAlignment="1">
      <alignment horizontal="center" vertical="center"/>
    </xf>
    <xf numFmtId="0" fontId="15" fillId="0" borderId="217" xfId="0" applyFont="1" applyFill="1" applyBorder="1" applyAlignment="1">
      <alignment horizontal="center"/>
    </xf>
    <xf numFmtId="0" fontId="15" fillId="0" borderId="218" xfId="0" applyFont="1" applyFill="1" applyBorder="1" applyAlignment="1">
      <alignment horizontal="center"/>
    </xf>
    <xf numFmtId="0" fontId="15" fillId="0" borderId="112" xfId="0" applyFont="1" applyFill="1" applyBorder="1" applyAlignment="1">
      <alignment horizontal="center"/>
    </xf>
    <xf numFmtId="0" fontId="15" fillId="42" borderId="170" xfId="0" applyFont="1" applyFill="1" applyBorder="1" applyAlignment="1">
      <alignment horizontal="center"/>
    </xf>
    <xf numFmtId="0" fontId="15" fillId="42" borderId="175" xfId="0" applyFont="1" applyFill="1" applyBorder="1" applyAlignment="1">
      <alignment horizontal="center"/>
    </xf>
    <xf numFmtId="176" fontId="21" fillId="41" borderId="219" xfId="0" applyNumberFormat="1" applyFont="1" applyFill="1" applyBorder="1" applyAlignment="1">
      <alignment horizontal="center" vertical="center"/>
    </xf>
    <xf numFmtId="0" fontId="21" fillId="13" borderId="153" xfId="0" applyFont="1" applyFill="1" applyBorder="1" applyAlignment="1">
      <alignment horizontal="center" vertical="center" wrapText="1"/>
    </xf>
    <xf numFmtId="0" fontId="21" fillId="13" borderId="154" xfId="0" applyFont="1" applyFill="1" applyBorder="1" applyAlignment="1">
      <alignment horizontal="center" vertical="center" wrapText="1"/>
    </xf>
    <xf numFmtId="0" fontId="22" fillId="13" borderId="155" xfId="0" applyFont="1" applyFill="1" applyBorder="1" applyAlignment="1">
      <alignment horizontal="center" vertical="center" wrapText="1"/>
    </xf>
    <xf numFmtId="0" fontId="22" fillId="13" borderId="154" xfId="0" applyFont="1" applyFill="1" applyBorder="1" applyAlignment="1">
      <alignment horizontal="center" vertical="center" wrapText="1"/>
    </xf>
    <xf numFmtId="0" fontId="22" fillId="13" borderId="207" xfId="0" applyFont="1" applyFill="1" applyBorder="1" applyAlignment="1">
      <alignment horizontal="center" vertical="center" wrapText="1"/>
    </xf>
    <xf numFmtId="176" fontId="23" fillId="13" borderId="69" xfId="0" applyNumberFormat="1" applyFont="1" applyFill="1" applyBorder="1" applyAlignment="1">
      <alignment horizontal="center" vertical="center" wrapText="1"/>
    </xf>
    <xf numFmtId="176" fontId="23" fillId="13" borderId="67" xfId="0" applyNumberFormat="1" applyFont="1" applyFill="1" applyBorder="1" applyAlignment="1">
      <alignment horizontal="center" vertical="center" wrapText="1"/>
    </xf>
    <xf numFmtId="176" fontId="23" fillId="13" borderId="68" xfId="0" applyNumberFormat="1" applyFont="1" applyFill="1" applyBorder="1" applyAlignment="1">
      <alignment horizontal="center" vertical="center" wrapText="1"/>
    </xf>
    <xf numFmtId="176" fontId="23" fillId="13" borderId="149" xfId="0" applyNumberFormat="1" applyFont="1" applyFill="1" applyBorder="1" applyAlignment="1">
      <alignment horizontal="center" vertical="center" wrapText="1"/>
    </xf>
    <xf numFmtId="176" fontId="23" fillId="13" borderId="70" xfId="0" applyNumberFormat="1" applyFont="1" applyFill="1" applyBorder="1" applyAlignment="1">
      <alignment horizontal="center" vertical="center" wrapText="1"/>
    </xf>
    <xf numFmtId="176" fontId="23" fillId="13" borderId="48" xfId="0" applyNumberFormat="1" applyFont="1" applyFill="1" applyBorder="1" applyAlignment="1">
      <alignment horizontal="center" vertical="center" wrapText="1"/>
    </xf>
    <xf numFmtId="176" fontId="23" fillId="13" borderId="52" xfId="0" applyNumberFormat="1" applyFont="1" applyFill="1" applyBorder="1" applyAlignment="1">
      <alignment horizontal="center" vertical="center" wrapText="1"/>
    </xf>
    <xf numFmtId="176" fontId="23" fillId="13" borderId="53" xfId="0" applyNumberFormat="1" applyFont="1" applyFill="1" applyBorder="1" applyAlignment="1">
      <alignment horizontal="center" vertical="center" wrapText="1"/>
    </xf>
    <xf numFmtId="176" fontId="23" fillId="13" borderId="66" xfId="0" applyNumberFormat="1" applyFont="1" applyFill="1" applyBorder="1" applyAlignment="1">
      <alignment horizontal="center" vertical="center" wrapText="1"/>
    </xf>
    <xf numFmtId="176" fontId="23" fillId="13" borderId="157" xfId="0" applyNumberFormat="1" applyFont="1" applyFill="1" applyBorder="1" applyAlignment="1">
      <alignment horizontal="center" vertical="center"/>
    </xf>
    <xf numFmtId="0" fontId="19" fillId="0" borderId="146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21" fillId="12" borderId="153" xfId="0" applyFont="1" applyFill="1" applyBorder="1" applyAlignment="1">
      <alignment horizontal="center" vertical="center" wrapText="1"/>
    </xf>
    <xf numFmtId="0" fontId="21" fillId="12" borderId="154" xfId="0" applyFont="1" applyFill="1" applyBorder="1" applyAlignment="1">
      <alignment horizontal="center" vertical="center" wrapText="1"/>
    </xf>
    <xf numFmtId="0" fontId="22" fillId="12" borderId="155" xfId="0" applyFont="1" applyFill="1" applyBorder="1" applyAlignment="1">
      <alignment horizontal="center" vertical="center" wrapText="1"/>
    </xf>
    <xf numFmtId="0" fontId="22" fillId="12" borderId="154" xfId="0" applyFont="1" applyFill="1" applyBorder="1" applyAlignment="1">
      <alignment horizontal="center" vertical="center" wrapText="1"/>
    </xf>
    <xf numFmtId="0" fontId="22" fillId="12" borderId="207" xfId="0" applyFont="1" applyFill="1" applyBorder="1" applyAlignment="1">
      <alignment horizontal="center" vertical="center" wrapText="1"/>
    </xf>
    <xf numFmtId="176" fontId="23" fillId="12" borderId="69" xfId="0" applyNumberFormat="1" applyFont="1" applyFill="1" applyBorder="1" applyAlignment="1">
      <alignment horizontal="center" vertical="center" wrapText="1"/>
    </xf>
    <xf numFmtId="176" fontId="23" fillId="12" borderId="67" xfId="0" applyNumberFormat="1" applyFont="1" applyFill="1" applyBorder="1" applyAlignment="1">
      <alignment horizontal="center" vertical="center" wrapText="1"/>
    </xf>
    <xf numFmtId="176" fontId="23" fillId="12" borderId="68" xfId="0" applyNumberFormat="1" applyFont="1" applyFill="1" applyBorder="1" applyAlignment="1">
      <alignment horizontal="center" vertical="center" wrapText="1"/>
    </xf>
    <xf numFmtId="176" fontId="23" fillId="12" borderId="149" xfId="0" applyNumberFormat="1" applyFont="1" applyFill="1" applyBorder="1" applyAlignment="1">
      <alignment horizontal="center" vertical="center" wrapText="1"/>
    </xf>
    <xf numFmtId="176" fontId="23" fillId="12" borderId="70" xfId="0" applyNumberFormat="1" applyFont="1" applyFill="1" applyBorder="1" applyAlignment="1">
      <alignment horizontal="center" vertical="center" wrapText="1"/>
    </xf>
    <xf numFmtId="176" fontId="23" fillId="12" borderId="48" xfId="0" applyNumberFormat="1" applyFont="1" applyFill="1" applyBorder="1" applyAlignment="1">
      <alignment horizontal="center" vertical="center" wrapText="1"/>
    </xf>
    <xf numFmtId="176" fontId="23" fillId="12" borderId="52" xfId="0" applyNumberFormat="1" applyFont="1" applyFill="1" applyBorder="1" applyAlignment="1">
      <alignment horizontal="center" vertical="center" wrapText="1"/>
    </xf>
    <xf numFmtId="176" fontId="23" fillId="12" borderId="53" xfId="0" applyNumberFormat="1" applyFont="1" applyFill="1" applyBorder="1" applyAlignment="1">
      <alignment horizontal="center" vertical="center" wrapText="1"/>
    </xf>
    <xf numFmtId="176" fontId="23" fillId="12" borderId="66" xfId="0" applyNumberFormat="1" applyFont="1" applyFill="1" applyBorder="1" applyAlignment="1">
      <alignment horizontal="center" vertical="center" wrapText="1"/>
    </xf>
    <xf numFmtId="176" fontId="23" fillId="12" borderId="157" xfId="0" applyNumberFormat="1" applyFont="1" applyFill="1" applyBorder="1" applyAlignment="1">
      <alignment horizontal="center" vertical="center"/>
    </xf>
    <xf numFmtId="49" fontId="15" fillId="0" borderId="168" xfId="0" applyNumberFormat="1" applyFont="1" applyFill="1" applyBorder="1" applyAlignment="1">
      <alignment horizontal="center"/>
    </xf>
    <xf numFmtId="0" fontId="15" fillId="0" borderId="220" xfId="0" applyFont="1" applyFill="1" applyBorder="1" applyAlignment="1">
      <alignment horizontal="center"/>
    </xf>
    <xf numFmtId="0" fontId="23" fillId="0" borderId="221" xfId="0" applyFont="1" applyFill="1" applyBorder="1" applyAlignment="1">
      <alignment horizontal="center" vertical="center"/>
    </xf>
    <xf numFmtId="0" fontId="23" fillId="0" borderId="222" xfId="0" applyFont="1" applyFill="1" applyBorder="1" applyAlignment="1">
      <alignment horizontal="center" vertical="center"/>
    </xf>
    <xf numFmtId="0" fontId="23" fillId="0" borderId="223" xfId="0" applyFont="1" applyFill="1" applyBorder="1" applyAlignment="1">
      <alignment horizontal="center" vertical="center"/>
    </xf>
    <xf numFmtId="0" fontId="23" fillId="0" borderId="22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81" xfId="0" applyFont="1" applyFill="1" applyBorder="1" applyAlignment="1">
      <alignment horizontal="center" vertical="center" wrapText="1"/>
    </xf>
    <xf numFmtId="176" fontId="21" fillId="41" borderId="204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81" xfId="0" applyFont="1" applyFill="1" applyBorder="1" applyAlignment="1">
      <alignment horizontal="center" vertical="center" wrapText="1"/>
    </xf>
    <xf numFmtId="176" fontId="21" fillId="41" borderId="204" xfId="0" applyNumberFormat="1" applyFont="1" applyFill="1" applyBorder="1" applyAlignment="1">
      <alignment horizontal="center" vertical="center"/>
    </xf>
    <xf numFmtId="0" fontId="15" fillId="0" borderId="225" xfId="0" applyFont="1" applyFill="1" applyBorder="1" applyAlignment="1">
      <alignment horizontal="center"/>
    </xf>
    <xf numFmtId="0" fontId="15" fillId="0" borderId="226" xfId="0" applyFont="1" applyFill="1" applyBorder="1" applyAlignment="1">
      <alignment horizontal="center"/>
    </xf>
    <xf numFmtId="0" fontId="15" fillId="0" borderId="226" xfId="0" applyFont="1" applyFill="1" applyBorder="1" applyAlignment="1">
      <alignment horizontal="center" vertical="center"/>
    </xf>
    <xf numFmtId="0" fontId="15" fillId="0" borderId="227" xfId="0" applyFont="1" applyFill="1" applyBorder="1" applyAlignment="1">
      <alignment horizontal="center" vertical="center"/>
    </xf>
    <xf numFmtId="0" fontId="15" fillId="0" borderId="227" xfId="0" applyFont="1" applyFill="1" applyBorder="1" applyAlignment="1">
      <alignment horizontal="center"/>
    </xf>
    <xf numFmtId="0" fontId="15" fillId="0" borderId="228" xfId="0" applyFont="1" applyFill="1" applyBorder="1" applyAlignment="1">
      <alignment horizontal="center"/>
    </xf>
    <xf numFmtId="0" fontId="15" fillId="0" borderId="229" xfId="0" applyFont="1" applyFill="1" applyBorder="1" applyAlignment="1">
      <alignment horizontal="center"/>
    </xf>
    <xf numFmtId="0" fontId="15" fillId="0" borderId="230" xfId="0" applyFont="1" applyFill="1" applyBorder="1" applyAlignment="1">
      <alignment horizontal="center"/>
    </xf>
    <xf numFmtId="0" fontId="15" fillId="0" borderId="231" xfId="0" applyFont="1" applyFill="1" applyBorder="1" applyAlignment="1">
      <alignment horizontal="center"/>
    </xf>
    <xf numFmtId="0" fontId="15" fillId="0" borderId="232" xfId="0" applyFont="1" applyFill="1" applyBorder="1" applyAlignment="1">
      <alignment horizontal="center"/>
    </xf>
    <xf numFmtId="0" fontId="15" fillId="0" borderId="233" xfId="0" applyFont="1" applyFill="1" applyBorder="1" applyAlignment="1">
      <alignment horizontal="center"/>
    </xf>
    <xf numFmtId="0" fontId="15" fillId="0" borderId="233" xfId="0" applyFont="1" applyFill="1" applyBorder="1" applyAlignment="1">
      <alignment horizontal="center" vertical="center"/>
    </xf>
    <xf numFmtId="0" fontId="15" fillId="0" borderId="234" xfId="0" applyFont="1" applyFill="1" applyBorder="1" applyAlignment="1">
      <alignment horizontal="center" vertical="center"/>
    </xf>
    <xf numFmtId="0" fontId="15" fillId="0" borderId="234" xfId="0" applyFont="1" applyFill="1" applyBorder="1" applyAlignment="1">
      <alignment horizontal="center"/>
    </xf>
    <xf numFmtId="0" fontId="15" fillId="0" borderId="235" xfId="0" applyFont="1" applyFill="1" applyBorder="1" applyAlignment="1">
      <alignment horizontal="center"/>
    </xf>
    <xf numFmtId="0" fontId="15" fillId="0" borderId="236" xfId="0" applyFont="1" applyFill="1" applyBorder="1" applyAlignment="1">
      <alignment horizontal="center"/>
    </xf>
    <xf numFmtId="0" fontId="15" fillId="0" borderId="237" xfId="0" applyFont="1" applyFill="1" applyBorder="1" applyAlignment="1">
      <alignment horizontal="center"/>
    </xf>
    <xf numFmtId="0" fontId="15" fillId="0" borderId="238" xfId="0" applyFont="1" applyFill="1" applyBorder="1" applyAlignment="1">
      <alignment horizontal="center"/>
    </xf>
    <xf numFmtId="0" fontId="15" fillId="0" borderId="239" xfId="0" applyFont="1" applyFill="1" applyBorder="1" applyAlignment="1">
      <alignment horizontal="center"/>
    </xf>
    <xf numFmtId="1" fontId="15" fillId="0" borderId="240" xfId="0" applyNumberFormat="1" applyFont="1" applyFill="1" applyBorder="1" applyAlignment="1">
      <alignment horizontal="center" vertical="center"/>
    </xf>
    <xf numFmtId="0" fontId="15" fillId="0" borderId="240" xfId="0" applyFont="1" applyFill="1" applyBorder="1" applyAlignment="1">
      <alignment horizontal="center" vertical="center"/>
    </xf>
    <xf numFmtId="0" fontId="15" fillId="0" borderId="241" xfId="0" applyFont="1" applyFill="1" applyBorder="1" applyAlignment="1">
      <alignment horizontal="center" vertical="center"/>
    </xf>
    <xf numFmtId="0" fontId="15" fillId="0" borderId="241" xfId="0" applyFont="1" applyFill="1" applyBorder="1" applyAlignment="1">
      <alignment horizontal="center"/>
    </xf>
    <xf numFmtId="0" fontId="15" fillId="0" borderId="242" xfId="0" applyFont="1" applyFill="1" applyBorder="1" applyAlignment="1">
      <alignment horizontal="center"/>
    </xf>
    <xf numFmtId="0" fontId="15" fillId="0" borderId="243" xfId="0" applyFont="1" applyFill="1" applyBorder="1" applyAlignment="1">
      <alignment horizontal="center"/>
    </xf>
    <xf numFmtId="0" fontId="15" fillId="0" borderId="244" xfId="0" applyFont="1" applyFill="1" applyBorder="1" applyAlignment="1">
      <alignment horizontal="center"/>
    </xf>
    <xf numFmtId="0" fontId="15" fillId="0" borderId="245" xfId="0" applyFont="1" applyFill="1" applyBorder="1" applyAlignment="1">
      <alignment horizontal="center"/>
    </xf>
    <xf numFmtId="0" fontId="15" fillId="0" borderId="240" xfId="0" applyFont="1" applyFill="1" applyBorder="1" applyAlignment="1">
      <alignment horizontal="center"/>
    </xf>
    <xf numFmtId="1" fontId="15" fillId="0" borderId="226" xfId="0" applyNumberFormat="1" applyFont="1" applyFill="1" applyBorder="1" applyAlignment="1">
      <alignment horizontal="center" vertical="center"/>
    </xf>
    <xf numFmtId="1" fontId="15" fillId="0" borderId="233" xfId="0" applyNumberFormat="1" applyFont="1" applyFill="1" applyBorder="1" applyAlignment="1">
      <alignment horizontal="center" vertical="center"/>
    </xf>
    <xf numFmtId="0" fontId="15" fillId="0" borderId="246" xfId="0" applyFont="1" applyFill="1" applyBorder="1" applyAlignment="1">
      <alignment horizontal="center"/>
    </xf>
    <xf numFmtId="1" fontId="15" fillId="0" borderId="247" xfId="0" applyNumberFormat="1" applyFont="1" applyFill="1" applyBorder="1" applyAlignment="1">
      <alignment horizontal="center" vertical="center"/>
    </xf>
    <xf numFmtId="0" fontId="15" fillId="0" borderId="247" xfId="0" applyFont="1" applyFill="1" applyBorder="1" applyAlignment="1">
      <alignment horizontal="center" vertical="center"/>
    </xf>
    <xf numFmtId="0" fontId="15" fillId="0" borderId="248" xfId="0" applyFont="1" applyFill="1" applyBorder="1" applyAlignment="1">
      <alignment horizontal="center" vertical="center"/>
    </xf>
    <xf numFmtId="0" fontId="15" fillId="0" borderId="248" xfId="0" applyFont="1" applyFill="1" applyBorder="1" applyAlignment="1">
      <alignment horizontal="center"/>
    </xf>
    <xf numFmtId="0" fontId="15" fillId="0" borderId="249" xfId="0" applyFont="1" applyFill="1" applyBorder="1" applyAlignment="1">
      <alignment horizontal="center"/>
    </xf>
    <xf numFmtId="0" fontId="15" fillId="0" borderId="250" xfId="0" applyFont="1" applyFill="1" applyBorder="1" applyAlignment="1">
      <alignment horizontal="center"/>
    </xf>
    <xf numFmtId="0" fontId="15" fillId="0" borderId="251" xfId="0" applyFont="1" applyFill="1" applyBorder="1" applyAlignment="1">
      <alignment horizontal="center"/>
    </xf>
    <xf numFmtId="0" fontId="15" fillId="0" borderId="252" xfId="0" applyFont="1" applyFill="1" applyBorder="1" applyAlignment="1">
      <alignment horizontal="center"/>
    </xf>
    <xf numFmtId="0" fontId="15" fillId="0" borderId="247" xfId="0" applyFont="1" applyFill="1" applyBorder="1" applyAlignment="1">
      <alignment horizontal="center"/>
    </xf>
    <xf numFmtId="0" fontId="15" fillId="0" borderId="232" xfId="0" applyFont="1" applyFill="1" applyBorder="1" applyAlignment="1">
      <alignment horizontal="center" vertical="center"/>
    </xf>
    <xf numFmtId="0" fontId="15" fillId="0" borderId="236" xfId="0" applyFont="1" applyFill="1" applyBorder="1" applyAlignment="1">
      <alignment horizontal="center" vertical="center"/>
    </xf>
    <xf numFmtId="0" fontId="15" fillId="0" borderId="239" xfId="0" applyFont="1" applyFill="1" applyBorder="1" applyAlignment="1">
      <alignment horizontal="center" vertical="center"/>
    </xf>
    <xf numFmtId="0" fontId="15" fillId="0" borderId="243" xfId="0" applyFont="1" applyFill="1" applyBorder="1" applyAlignment="1">
      <alignment horizontal="center" vertical="center"/>
    </xf>
    <xf numFmtId="0" fontId="15" fillId="0" borderId="253" xfId="0" applyFont="1" applyFill="1" applyBorder="1" applyAlignment="1">
      <alignment horizontal="center"/>
    </xf>
    <xf numFmtId="0" fontId="15" fillId="0" borderId="254" xfId="0" applyFont="1" applyFill="1" applyBorder="1" applyAlignment="1">
      <alignment horizontal="center"/>
    </xf>
    <xf numFmtId="0" fontId="15" fillId="0" borderId="255" xfId="0" applyFont="1" applyFill="1" applyBorder="1" applyAlignment="1">
      <alignment horizontal="center"/>
    </xf>
    <xf numFmtId="0" fontId="15" fillId="0" borderId="256" xfId="0" applyFont="1" applyFill="1" applyBorder="1" applyAlignment="1">
      <alignment horizontal="center"/>
    </xf>
    <xf numFmtId="0" fontId="15" fillId="0" borderId="257" xfId="0" applyFont="1" applyFill="1" applyBorder="1" applyAlignment="1">
      <alignment horizontal="center"/>
    </xf>
    <xf numFmtId="0" fontId="15" fillId="0" borderId="258" xfId="0" applyFont="1" applyFill="1" applyBorder="1" applyAlignment="1">
      <alignment horizontal="center"/>
    </xf>
    <xf numFmtId="0" fontId="15" fillId="0" borderId="259" xfId="0" applyFont="1" applyFill="1" applyBorder="1" applyAlignment="1">
      <alignment horizontal="center"/>
    </xf>
    <xf numFmtId="49" fontId="15" fillId="0" borderId="226" xfId="0" applyNumberFormat="1" applyFont="1" applyFill="1" applyBorder="1" applyAlignment="1">
      <alignment horizontal="center"/>
    </xf>
    <xf numFmtId="49" fontId="15" fillId="0" borderId="227" xfId="0" applyNumberFormat="1" applyFont="1" applyFill="1" applyBorder="1" applyAlignment="1">
      <alignment horizontal="center"/>
    </xf>
    <xf numFmtId="49" fontId="15" fillId="0" borderId="239" xfId="0" applyNumberFormat="1" applyFont="1" applyFill="1" applyBorder="1" applyAlignment="1">
      <alignment horizontal="center"/>
    </xf>
    <xf numFmtId="49" fontId="15" fillId="0" borderId="225" xfId="0" applyNumberFormat="1" applyFont="1" applyFill="1" applyBorder="1" applyAlignment="1">
      <alignment horizontal="center"/>
    </xf>
    <xf numFmtId="49" fontId="15" fillId="0" borderId="232" xfId="0" applyNumberFormat="1" applyFont="1" applyFill="1" applyBorder="1" applyAlignment="1">
      <alignment horizontal="center"/>
    </xf>
    <xf numFmtId="0" fontId="15" fillId="0" borderId="260" xfId="0" applyFont="1" applyFill="1" applyBorder="1" applyAlignment="1">
      <alignment horizontal="center"/>
    </xf>
    <xf numFmtId="0" fontId="23" fillId="0" borderId="26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76" fontId="21" fillId="41" borderId="204" xfId="0" applyNumberFormat="1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 wrapText="1"/>
    </xf>
    <xf numFmtId="0" fontId="19" fillId="0" borderId="183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176" fontId="23" fillId="12" borderId="51" xfId="0" applyNumberFormat="1" applyFont="1" applyFill="1" applyBorder="1" applyAlignment="1">
      <alignment horizontal="center" vertical="center" wrapText="1"/>
    </xf>
    <xf numFmtId="49" fontId="15" fillId="0" borderId="246" xfId="0" applyNumberFormat="1" applyFont="1" applyFill="1" applyBorder="1" applyAlignment="1">
      <alignment horizontal="center"/>
    </xf>
    <xf numFmtId="0" fontId="23" fillId="0" borderId="262" xfId="0" applyFont="1" applyFill="1" applyBorder="1" applyAlignment="1">
      <alignment horizontal="center" vertical="center"/>
    </xf>
    <xf numFmtId="176" fontId="21" fillId="41" borderId="125" xfId="0" applyNumberFormat="1" applyFont="1" applyFill="1" applyBorder="1" applyAlignment="1">
      <alignment horizontal="center" vertical="center"/>
    </xf>
    <xf numFmtId="176" fontId="21" fillId="41" borderId="263" xfId="0" applyNumberFormat="1" applyFont="1" applyFill="1" applyBorder="1" applyAlignment="1">
      <alignment horizontal="center" vertical="center"/>
    </xf>
    <xf numFmtId="176" fontId="21" fillId="41" borderId="264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/>
    </xf>
    <xf numFmtId="0" fontId="30" fillId="0" borderId="0" xfId="0" applyFont="1" applyFill="1" applyBorder="1" applyAlignment="1">
      <alignment horizontal="center"/>
    </xf>
    <xf numFmtId="0" fontId="79" fillId="0" borderId="0" xfId="50">
      <alignment/>
      <protection/>
    </xf>
    <xf numFmtId="0" fontId="79" fillId="0" borderId="0" xfId="50" applyBorder="1">
      <alignment/>
      <protection/>
    </xf>
    <xf numFmtId="0" fontId="2" fillId="0" borderId="0" xfId="50" applyFont="1" applyBorder="1">
      <alignment/>
      <protection/>
    </xf>
    <xf numFmtId="0" fontId="18" fillId="0" borderId="0" xfId="50" applyFont="1" applyBorder="1">
      <alignment/>
      <protection/>
    </xf>
    <xf numFmtId="0" fontId="33" fillId="0" borderId="0" xfId="50" applyFont="1" applyAlignment="1">
      <alignment horizontal="left" indent="4"/>
      <protection/>
    </xf>
    <xf numFmtId="0" fontId="79" fillId="0" borderId="0" xfId="50" applyAlignment="1">
      <alignment horizontal="center"/>
      <protection/>
    </xf>
    <xf numFmtId="0" fontId="79" fillId="0" borderId="0" xfId="50" applyFill="1" applyAlignment="1">
      <alignment horizontal="center"/>
      <protection/>
    </xf>
    <xf numFmtId="0" fontId="79" fillId="0" borderId="0" xfId="50" applyBorder="1" applyAlignment="1">
      <alignment horizontal="center"/>
      <protection/>
    </xf>
    <xf numFmtId="0" fontId="19" fillId="0" borderId="51" xfId="50" applyFont="1" applyFill="1" applyBorder="1" applyAlignment="1">
      <alignment horizontal="center" vertical="center" wrapText="1"/>
      <protection/>
    </xf>
    <xf numFmtId="0" fontId="19" fillId="0" borderId="181" xfId="50" applyFont="1" applyFill="1" applyBorder="1" applyAlignment="1">
      <alignment horizontal="center" vertical="center" wrapText="1"/>
      <protection/>
    </xf>
    <xf numFmtId="0" fontId="19" fillId="0" borderId="53" xfId="50" applyFont="1" applyFill="1" applyBorder="1" applyAlignment="1">
      <alignment horizontal="center" vertical="center" wrapText="1"/>
      <protection/>
    </xf>
    <xf numFmtId="0" fontId="19" fillId="0" borderId="183" xfId="50" applyFont="1" applyFill="1" applyBorder="1" applyAlignment="1">
      <alignment horizontal="center" vertical="center" wrapText="1"/>
      <protection/>
    </xf>
    <xf numFmtId="0" fontId="19" fillId="0" borderId="145" xfId="50" applyFont="1" applyFill="1" applyBorder="1" applyAlignment="1">
      <alignment horizontal="center" vertical="center" wrapText="1"/>
      <protection/>
    </xf>
    <xf numFmtId="0" fontId="19" fillId="0" borderId="149" xfId="50" applyFont="1" applyFill="1" applyBorder="1" applyAlignment="1">
      <alignment horizontal="center" vertical="center" wrapText="1"/>
      <protection/>
    </xf>
    <xf numFmtId="0" fontId="79" fillId="0" borderId="0" xfId="50" applyBorder="1" applyAlignment="1">
      <alignment vertical="center" textRotation="180"/>
      <protection/>
    </xf>
    <xf numFmtId="0" fontId="79" fillId="0" borderId="0" xfId="50" applyFont="1" applyBorder="1" applyAlignment="1">
      <alignment horizontal="center" vertical="center"/>
      <protection/>
    </xf>
    <xf numFmtId="0" fontId="19" fillId="0" borderId="149" xfId="50" applyFont="1" applyBorder="1" applyAlignment="1">
      <alignment horizontal="center" vertical="center" wrapText="1"/>
      <protection/>
    </xf>
    <xf numFmtId="0" fontId="19" fillId="0" borderId="265" xfId="50" applyFont="1" applyBorder="1" applyAlignment="1">
      <alignment horizontal="center" vertical="center" wrapText="1"/>
      <protection/>
    </xf>
    <xf numFmtId="0" fontId="19" fillId="0" borderId="51" xfId="50" applyFont="1" applyBorder="1" applyAlignment="1">
      <alignment horizontal="center" vertical="center" wrapText="1"/>
      <protection/>
    </xf>
    <xf numFmtId="0" fontId="19" fillId="0" borderId="182" xfId="50" applyFont="1" applyFill="1" applyBorder="1" applyAlignment="1">
      <alignment horizontal="center" vertical="center" wrapText="1"/>
      <protection/>
    </xf>
    <xf numFmtId="0" fontId="19" fillId="0" borderId="49" xfId="50" applyFont="1" applyFill="1" applyBorder="1" applyAlignment="1">
      <alignment horizontal="center" vertical="center" wrapText="1"/>
      <protection/>
    </xf>
    <xf numFmtId="0" fontId="19" fillId="0" borderId="146" xfId="50" applyFont="1" applyFill="1" applyBorder="1" applyAlignment="1">
      <alignment horizontal="center" vertical="center" wrapText="1"/>
      <protection/>
    </xf>
    <xf numFmtId="0" fontId="19" fillId="0" borderId="147" xfId="50" applyFont="1" applyFill="1" applyBorder="1" applyAlignment="1">
      <alignment horizontal="center" vertical="center" wrapText="1"/>
      <protection/>
    </xf>
    <xf numFmtId="0" fontId="39" fillId="0" borderId="51" xfId="50" applyFont="1" applyFill="1" applyBorder="1" applyAlignment="1">
      <alignment horizontal="center" vertical="center" wrapText="1"/>
      <protection/>
    </xf>
    <xf numFmtId="0" fontId="19" fillId="0" borderId="50" xfId="50" applyFont="1" applyFill="1" applyBorder="1" applyAlignment="1">
      <alignment horizontal="center" vertical="center" wrapText="1"/>
      <protection/>
    </xf>
    <xf numFmtId="0" fontId="19" fillId="0" borderId="48" xfId="50" applyFont="1" applyFill="1" applyBorder="1" applyAlignment="1">
      <alignment horizontal="center" vertical="center" wrapText="1"/>
      <protection/>
    </xf>
    <xf numFmtId="0" fontId="19" fillId="0" borderId="149" xfId="50" applyFont="1" applyFill="1" applyBorder="1" applyAlignment="1">
      <alignment horizontal="center" vertical="center"/>
      <protection/>
    </xf>
    <xf numFmtId="0" fontId="19" fillId="0" borderId="53" xfId="50" applyFont="1" applyFill="1" applyBorder="1" applyAlignment="1">
      <alignment horizontal="center" vertical="center"/>
      <protection/>
    </xf>
    <xf numFmtId="0" fontId="19" fillId="0" borderId="12" xfId="50" applyFont="1" applyBorder="1" applyAlignment="1">
      <alignment horizontal="center" vertical="center"/>
      <protection/>
    </xf>
    <xf numFmtId="0" fontId="19" fillId="0" borderId="48" xfId="50" applyFont="1" applyBorder="1" applyAlignment="1">
      <alignment horizontal="center" vertical="center" wrapText="1"/>
      <protection/>
    </xf>
    <xf numFmtId="0" fontId="19" fillId="0" borderId="53" xfId="50" applyFont="1" applyBorder="1" applyAlignment="1">
      <alignment horizontal="center" vertical="center" wrapText="1"/>
      <protection/>
    </xf>
    <xf numFmtId="0" fontId="79" fillId="0" borderId="0" xfId="50" applyFont="1" applyBorder="1" applyAlignment="1">
      <alignment vertical="center" textRotation="180"/>
      <protection/>
    </xf>
    <xf numFmtId="0" fontId="79" fillId="0" borderId="0" xfId="50" applyFont="1" applyAlignment="1">
      <alignment vertical="center"/>
      <protection/>
    </xf>
    <xf numFmtId="0" fontId="21" fillId="12" borderId="153" xfId="50" applyFont="1" applyFill="1" applyBorder="1" applyAlignment="1">
      <alignment horizontal="center" vertical="center" wrapText="1"/>
      <protection/>
    </xf>
    <xf numFmtId="0" fontId="21" fillId="12" borderId="266" xfId="50" applyFont="1" applyFill="1" applyBorder="1" applyAlignment="1">
      <alignment horizontal="center" vertical="center" wrapText="1"/>
      <protection/>
    </xf>
    <xf numFmtId="0" fontId="22" fillId="12" borderId="266" xfId="50" applyFont="1" applyFill="1" applyBorder="1" applyAlignment="1">
      <alignment horizontal="center" vertical="center" wrapText="1"/>
      <protection/>
    </xf>
    <xf numFmtId="0" fontId="22" fillId="12" borderId="154" xfId="50" applyFont="1" applyFill="1" applyBorder="1" applyAlignment="1">
      <alignment horizontal="center" vertical="center" wrapText="1"/>
      <protection/>
    </xf>
    <xf numFmtId="0" fontId="22" fillId="12" borderId="267" xfId="50" applyFont="1" applyFill="1" applyBorder="1" applyAlignment="1">
      <alignment horizontal="center" vertical="center" wrapText="1"/>
      <protection/>
    </xf>
    <xf numFmtId="0" fontId="22" fillId="12" borderId="155" xfId="50" applyFont="1" applyFill="1" applyBorder="1" applyAlignment="1">
      <alignment horizontal="center" vertical="center" wrapText="1"/>
      <protection/>
    </xf>
    <xf numFmtId="176" fontId="23" fillId="12" borderId="0" xfId="50" applyNumberFormat="1" applyFont="1" applyFill="1" applyBorder="1" applyAlignment="1">
      <alignment horizontal="center" vertical="center" wrapText="1"/>
      <protection/>
    </xf>
    <xf numFmtId="176" fontId="23" fillId="12" borderId="49" xfId="50" applyNumberFormat="1" applyFont="1" applyFill="1" applyBorder="1" applyAlignment="1">
      <alignment horizontal="center" vertical="center" wrapText="1"/>
      <protection/>
    </xf>
    <xf numFmtId="176" fontId="23" fillId="12" borderId="67" xfId="50" applyNumberFormat="1" applyFont="1" applyFill="1" applyBorder="1" applyAlignment="1">
      <alignment horizontal="center" vertical="center" wrapText="1"/>
      <protection/>
    </xf>
    <xf numFmtId="176" fontId="23" fillId="12" borderId="68" xfId="50" applyNumberFormat="1" applyFont="1" applyFill="1" applyBorder="1" applyAlignment="1">
      <alignment horizontal="center" vertical="center" wrapText="1"/>
      <protection/>
    </xf>
    <xf numFmtId="176" fontId="23" fillId="12" borderId="51" xfId="50" applyNumberFormat="1" applyFont="1" applyFill="1" applyBorder="1" applyAlignment="1">
      <alignment horizontal="center" vertical="center" wrapText="1"/>
      <protection/>
    </xf>
    <xf numFmtId="176" fontId="23" fillId="12" borderId="55" xfId="50" applyNumberFormat="1" applyFont="1" applyFill="1" applyBorder="1" applyAlignment="1">
      <alignment horizontal="center" vertical="center" wrapText="1"/>
      <protection/>
    </xf>
    <xf numFmtId="176" fontId="23" fillId="12" borderId="157" xfId="50" applyNumberFormat="1" applyFont="1" applyFill="1" applyBorder="1" applyAlignment="1">
      <alignment horizontal="center" vertical="center" wrapText="1"/>
      <protection/>
    </xf>
    <xf numFmtId="176" fontId="23" fillId="12" borderId="66" xfId="50" applyNumberFormat="1" applyFont="1" applyFill="1" applyBorder="1" applyAlignment="1">
      <alignment horizontal="center" vertical="center" wrapText="1"/>
      <protection/>
    </xf>
    <xf numFmtId="176" fontId="23" fillId="12" borderId="55" xfId="50" applyNumberFormat="1" applyFont="1" applyFill="1" applyBorder="1" applyAlignment="1">
      <alignment horizontal="center" vertical="center"/>
      <protection/>
    </xf>
    <xf numFmtId="176" fontId="23" fillId="12" borderId="70" xfId="50" applyNumberFormat="1" applyFont="1" applyFill="1" applyBorder="1" applyAlignment="1">
      <alignment horizontal="center" vertical="center"/>
      <protection/>
    </xf>
    <xf numFmtId="176" fontId="23" fillId="12" borderId="0" xfId="50" applyNumberFormat="1" applyFont="1" applyFill="1" applyBorder="1" applyAlignment="1">
      <alignment horizontal="center" vertical="center"/>
      <protection/>
    </xf>
    <xf numFmtId="176" fontId="23" fillId="12" borderId="70" xfId="50" applyNumberFormat="1" applyFont="1" applyFill="1" applyBorder="1" applyAlignment="1">
      <alignment horizontal="center" vertical="center" wrapText="1"/>
      <protection/>
    </xf>
    <xf numFmtId="0" fontId="79" fillId="0" borderId="0" xfId="50" applyFill="1" applyBorder="1">
      <alignment/>
      <protection/>
    </xf>
    <xf numFmtId="1" fontId="15" fillId="0" borderId="226" xfId="50" applyNumberFormat="1" applyFont="1" applyFill="1" applyBorder="1" applyAlignment="1">
      <alignment horizontal="center" vertical="center"/>
      <protection/>
    </xf>
    <xf numFmtId="0" fontId="15" fillId="0" borderId="227" xfId="50" applyFont="1" applyFill="1" applyBorder="1" applyAlignment="1">
      <alignment horizontal="center" vertical="center"/>
      <protection/>
    </xf>
    <xf numFmtId="0" fontId="15" fillId="0" borderId="231" xfId="50" applyFont="1" applyFill="1" applyBorder="1" applyAlignment="1">
      <alignment horizontal="center" vertical="center"/>
      <protection/>
    </xf>
    <xf numFmtId="0" fontId="15" fillId="0" borderId="228" xfId="50" applyFont="1" applyFill="1" applyBorder="1" applyAlignment="1">
      <alignment horizontal="center"/>
      <protection/>
    </xf>
    <xf numFmtId="0" fontId="15" fillId="0" borderId="227" xfId="50" applyFont="1" applyFill="1" applyBorder="1" applyAlignment="1">
      <alignment horizontal="center"/>
      <protection/>
    </xf>
    <xf numFmtId="0" fontId="15" fillId="0" borderId="231" xfId="50" applyFont="1" applyFill="1" applyBorder="1" applyAlignment="1">
      <alignment horizontal="center"/>
      <protection/>
    </xf>
    <xf numFmtId="0" fontId="15" fillId="0" borderId="225" xfId="50" applyFont="1" applyFill="1" applyBorder="1" applyAlignment="1">
      <alignment horizontal="center"/>
      <protection/>
    </xf>
    <xf numFmtId="0" fontId="15" fillId="0" borderId="229" xfId="50" applyFont="1" applyFill="1" applyBorder="1" applyAlignment="1">
      <alignment horizontal="center"/>
      <protection/>
    </xf>
    <xf numFmtId="0" fontId="15" fillId="0" borderId="253" xfId="50" applyFont="1" applyFill="1" applyBorder="1" applyAlignment="1">
      <alignment horizontal="center"/>
      <protection/>
    </xf>
    <xf numFmtId="1" fontId="15" fillId="0" borderId="233" xfId="50" applyNumberFormat="1" applyFont="1" applyFill="1" applyBorder="1" applyAlignment="1">
      <alignment horizontal="center" vertical="center"/>
      <protection/>
    </xf>
    <xf numFmtId="0" fontId="15" fillId="0" borderId="234" xfId="50" applyFont="1" applyFill="1" applyBorder="1" applyAlignment="1">
      <alignment horizontal="center" vertical="center"/>
      <protection/>
    </xf>
    <xf numFmtId="0" fontId="15" fillId="0" borderId="238" xfId="50" applyFont="1" applyFill="1" applyBorder="1" applyAlignment="1">
      <alignment horizontal="center" vertical="center"/>
      <protection/>
    </xf>
    <xf numFmtId="0" fontId="15" fillId="0" borderId="235" xfId="50" applyFont="1" applyFill="1" applyBorder="1" applyAlignment="1">
      <alignment horizontal="center"/>
      <protection/>
    </xf>
    <xf numFmtId="0" fontId="15" fillId="0" borderId="234" xfId="50" applyFont="1" applyFill="1" applyBorder="1" applyAlignment="1">
      <alignment horizontal="center"/>
      <protection/>
    </xf>
    <xf numFmtId="0" fontId="15" fillId="0" borderId="238" xfId="50" applyFont="1" applyFill="1" applyBorder="1" applyAlignment="1">
      <alignment horizontal="center"/>
      <protection/>
    </xf>
    <xf numFmtId="0" fontId="15" fillId="0" borderId="232" xfId="50" applyFont="1" applyFill="1" applyBorder="1" applyAlignment="1">
      <alignment horizontal="center"/>
      <protection/>
    </xf>
    <xf numFmtId="0" fontId="15" fillId="0" borderId="236" xfId="50" applyFont="1" applyFill="1" applyBorder="1" applyAlignment="1">
      <alignment horizontal="center"/>
      <protection/>
    </xf>
    <xf numFmtId="0" fontId="15" fillId="0" borderId="255" xfId="50" applyFont="1" applyFill="1" applyBorder="1" applyAlignment="1">
      <alignment horizontal="center"/>
      <protection/>
    </xf>
    <xf numFmtId="1" fontId="15" fillId="0" borderId="247" xfId="50" applyNumberFormat="1" applyFont="1" applyFill="1" applyBorder="1" applyAlignment="1">
      <alignment horizontal="center" vertical="center"/>
      <protection/>
    </xf>
    <xf numFmtId="0" fontId="15" fillId="0" borderId="248" xfId="50" applyFont="1" applyFill="1" applyBorder="1" applyAlignment="1">
      <alignment horizontal="center" vertical="center"/>
      <protection/>
    </xf>
    <xf numFmtId="0" fontId="15" fillId="0" borderId="252" xfId="50" applyFont="1" applyFill="1" applyBorder="1" applyAlignment="1">
      <alignment horizontal="center" vertical="center"/>
      <protection/>
    </xf>
    <xf numFmtId="0" fontId="15" fillId="0" borderId="249" xfId="50" applyFont="1" applyFill="1" applyBorder="1" applyAlignment="1">
      <alignment horizontal="center"/>
      <protection/>
    </xf>
    <xf numFmtId="0" fontId="15" fillId="0" borderId="248" xfId="50" applyFont="1" applyFill="1" applyBorder="1" applyAlignment="1">
      <alignment horizontal="center"/>
      <protection/>
    </xf>
    <xf numFmtId="0" fontId="15" fillId="0" borderId="252" xfId="50" applyFont="1" applyFill="1" applyBorder="1" applyAlignment="1">
      <alignment horizontal="center"/>
      <protection/>
    </xf>
    <xf numFmtId="0" fontId="15" fillId="0" borderId="246" xfId="50" applyFont="1" applyFill="1" applyBorder="1" applyAlignment="1">
      <alignment horizontal="center"/>
      <protection/>
    </xf>
    <xf numFmtId="0" fontId="15" fillId="0" borderId="250" xfId="50" applyFont="1" applyFill="1" applyBorder="1" applyAlignment="1">
      <alignment horizontal="center"/>
      <protection/>
    </xf>
    <xf numFmtId="0" fontId="15" fillId="0" borderId="268" xfId="50" applyFont="1" applyFill="1" applyBorder="1" applyAlignment="1">
      <alignment horizontal="center"/>
      <protection/>
    </xf>
    <xf numFmtId="0" fontId="15" fillId="0" borderId="240" xfId="50" applyFont="1" applyFill="1" applyBorder="1" applyAlignment="1">
      <alignment horizontal="center"/>
      <protection/>
    </xf>
    <xf numFmtId="0" fontId="15" fillId="0" borderId="241" xfId="50" applyFont="1" applyFill="1" applyBorder="1" applyAlignment="1">
      <alignment horizontal="center"/>
      <protection/>
    </xf>
    <xf numFmtId="0" fontId="15" fillId="0" borderId="245" xfId="50" applyFont="1" applyFill="1" applyBorder="1" applyAlignment="1">
      <alignment horizontal="center"/>
      <protection/>
    </xf>
    <xf numFmtId="0" fontId="15" fillId="0" borderId="242" xfId="50" applyFont="1" applyFill="1" applyBorder="1" applyAlignment="1">
      <alignment horizontal="center"/>
      <protection/>
    </xf>
    <xf numFmtId="0" fontId="15" fillId="0" borderId="239" xfId="50" applyFont="1" applyFill="1" applyBorder="1" applyAlignment="1">
      <alignment horizontal="center"/>
      <protection/>
    </xf>
    <xf numFmtId="0" fontId="15" fillId="0" borderId="243" xfId="50" applyFont="1" applyFill="1" applyBorder="1" applyAlignment="1">
      <alignment horizontal="center"/>
      <protection/>
    </xf>
    <xf numFmtId="0" fontId="15" fillId="0" borderId="257" xfId="50" applyFont="1" applyFill="1" applyBorder="1" applyAlignment="1">
      <alignment horizontal="center"/>
      <protection/>
    </xf>
    <xf numFmtId="0" fontId="15" fillId="0" borderId="226" xfId="50" applyFont="1" applyFill="1" applyBorder="1" applyAlignment="1">
      <alignment horizontal="center"/>
      <protection/>
    </xf>
    <xf numFmtId="0" fontId="79" fillId="0" borderId="0" xfId="50" applyFill="1">
      <alignment/>
      <protection/>
    </xf>
    <xf numFmtId="0" fontId="15" fillId="0" borderId="233" xfId="50" applyFont="1" applyFill="1" applyBorder="1" applyAlignment="1">
      <alignment horizontal="center" vertical="center"/>
      <protection/>
    </xf>
    <xf numFmtId="0" fontId="15" fillId="0" borderId="235" xfId="50" applyFont="1" applyFill="1" applyBorder="1" applyAlignment="1">
      <alignment horizontal="center" vertical="center"/>
      <protection/>
    </xf>
    <xf numFmtId="0" fontId="15" fillId="0" borderId="232" xfId="50" applyFont="1" applyFill="1" applyBorder="1" applyAlignment="1">
      <alignment horizontal="center" vertical="center"/>
      <protection/>
    </xf>
    <xf numFmtId="0" fontId="15" fillId="0" borderId="236" xfId="50" applyFont="1" applyFill="1" applyBorder="1" applyAlignment="1">
      <alignment horizontal="center" vertical="center"/>
      <protection/>
    </xf>
    <xf numFmtId="0" fontId="15" fillId="0" borderId="233" xfId="50" applyFont="1" applyFill="1" applyBorder="1" applyAlignment="1">
      <alignment horizontal="center"/>
      <protection/>
    </xf>
    <xf numFmtId="0" fontId="15" fillId="0" borderId="247" xfId="50" applyFont="1" applyFill="1" applyBorder="1" applyAlignment="1">
      <alignment horizontal="center"/>
      <protection/>
    </xf>
    <xf numFmtId="1" fontId="15" fillId="0" borderId="240" xfId="50" applyNumberFormat="1" applyFont="1" applyFill="1" applyBorder="1" applyAlignment="1">
      <alignment horizontal="center" vertical="center"/>
      <protection/>
    </xf>
    <xf numFmtId="49" fontId="15" fillId="0" borderId="227" xfId="50" applyNumberFormat="1" applyFont="1" applyFill="1" applyBorder="1" applyAlignment="1">
      <alignment horizontal="center"/>
      <protection/>
    </xf>
    <xf numFmtId="0" fontId="79" fillId="0" borderId="0" xfId="50" applyFill="1" applyBorder="1" applyAlignment="1">
      <alignment horizontal="center" vertical="center" wrapText="1"/>
      <protection/>
    </xf>
    <xf numFmtId="0" fontId="24" fillId="0" borderId="196" xfId="50" applyFont="1" applyFill="1" applyBorder="1" applyAlignment="1">
      <alignment horizontal="center" vertical="center"/>
      <protection/>
    </xf>
    <xf numFmtId="0" fontId="25" fillId="0" borderId="269" xfId="50" applyFont="1" applyFill="1" applyBorder="1" applyAlignment="1">
      <alignment horizontal="center" vertical="center"/>
      <protection/>
    </xf>
    <xf numFmtId="174" fontId="24" fillId="0" borderId="198" xfId="50" applyNumberFormat="1" applyFont="1" applyFill="1" applyBorder="1" applyAlignment="1">
      <alignment horizontal="center" vertical="center"/>
      <protection/>
    </xf>
    <xf numFmtId="174" fontId="25" fillId="0" borderId="270" xfId="50" applyNumberFormat="1" applyFont="1" applyFill="1" applyBorder="1" applyAlignment="1">
      <alignment horizontal="center" vertical="center"/>
      <protection/>
    </xf>
    <xf numFmtId="174" fontId="25" fillId="0" borderId="199" xfId="50" applyNumberFormat="1" applyFont="1" applyFill="1" applyBorder="1" applyAlignment="1">
      <alignment horizontal="center" vertical="center"/>
      <protection/>
    </xf>
    <xf numFmtId="0" fontId="23" fillId="0" borderId="222" xfId="50" applyNumberFormat="1" applyFont="1" applyFill="1" applyBorder="1" applyAlignment="1">
      <alignment horizontal="center" vertical="center"/>
      <protection/>
    </xf>
    <xf numFmtId="0" fontId="23" fillId="0" borderId="202" xfId="50" applyFont="1" applyFill="1" applyBorder="1" applyAlignment="1">
      <alignment horizontal="center" vertical="center"/>
      <protection/>
    </xf>
    <xf numFmtId="0" fontId="23" fillId="0" borderId="222" xfId="50" applyFont="1" applyFill="1" applyBorder="1" applyAlignment="1">
      <alignment horizontal="center" vertical="center"/>
      <protection/>
    </xf>
    <xf numFmtId="0" fontId="23" fillId="0" borderId="221" xfId="50" applyFont="1" applyFill="1" applyBorder="1" applyAlignment="1">
      <alignment horizontal="center" vertical="center"/>
      <protection/>
    </xf>
    <xf numFmtId="0" fontId="23" fillId="0" borderId="271" xfId="50" applyFont="1" applyFill="1" applyBorder="1" applyAlignment="1">
      <alignment horizontal="center" vertical="center"/>
      <protection/>
    </xf>
    <xf numFmtId="0" fontId="23" fillId="0" borderId="262" xfId="50" applyFont="1" applyFill="1" applyBorder="1" applyAlignment="1">
      <alignment horizontal="center" vertical="center"/>
      <protection/>
    </xf>
    <xf numFmtId="0" fontId="23" fillId="0" borderId="272" xfId="50" applyFont="1" applyFill="1" applyBorder="1" applyAlignment="1">
      <alignment horizontal="center" vertical="center"/>
      <protection/>
    </xf>
    <xf numFmtId="3" fontId="21" fillId="18" borderId="204" xfId="50" applyNumberFormat="1" applyFont="1" applyFill="1" applyBorder="1" applyAlignment="1">
      <alignment horizontal="center" vertical="center"/>
      <protection/>
    </xf>
    <xf numFmtId="174" fontId="22" fillId="18" borderId="273" xfId="50" applyNumberFormat="1" applyFont="1" applyFill="1" applyBorder="1" applyAlignment="1">
      <alignment horizontal="center" vertical="center"/>
      <protection/>
    </xf>
    <xf numFmtId="177" fontId="22" fillId="18" borderId="274" xfId="50" applyNumberFormat="1" applyFont="1" applyFill="1" applyBorder="1" applyAlignment="1">
      <alignment horizontal="center" vertical="center"/>
      <protection/>
    </xf>
    <xf numFmtId="176" fontId="21" fillId="18" borderId="204" xfId="50" applyNumberFormat="1" applyFont="1" applyFill="1" applyBorder="1" applyAlignment="1">
      <alignment horizontal="center" vertical="center"/>
      <protection/>
    </xf>
    <xf numFmtId="174" fontId="22" fillId="18" borderId="211" xfId="50" applyNumberFormat="1" applyFont="1" applyFill="1" applyBorder="1" applyAlignment="1">
      <alignment horizontal="center" vertical="center"/>
      <protection/>
    </xf>
    <xf numFmtId="176" fontId="21" fillId="18" borderId="97" xfId="50" applyNumberFormat="1" applyFont="1" applyFill="1" applyBorder="1" applyAlignment="1">
      <alignment horizontal="center" vertical="center"/>
      <protection/>
    </xf>
    <xf numFmtId="0" fontId="28" fillId="0" borderId="0" xfId="50" applyFont="1" applyFill="1" applyBorder="1" applyAlignment="1">
      <alignment horizontal="center" vertical="center"/>
      <protection/>
    </xf>
    <xf numFmtId="0" fontId="29" fillId="0" borderId="0" xfId="50" applyFont="1" applyFill="1" applyBorder="1" applyAlignment="1">
      <alignment horizontal="center" vertical="center"/>
      <protection/>
    </xf>
    <xf numFmtId="0" fontId="15" fillId="0" borderId="0" xfId="50" applyFont="1" applyAlignment="1">
      <alignment horizontal="center"/>
      <protection/>
    </xf>
    <xf numFmtId="0" fontId="15" fillId="0" borderId="0" xfId="50" applyFont="1" applyFill="1" applyAlignment="1">
      <alignment horizontal="center"/>
      <protection/>
    </xf>
    <xf numFmtId="0" fontId="91" fillId="0" borderId="0" xfId="50" applyFont="1">
      <alignment/>
      <protection/>
    </xf>
    <xf numFmtId="0" fontId="2" fillId="0" borderId="0" xfId="50" applyFont="1">
      <alignment/>
      <protection/>
    </xf>
    <xf numFmtId="0" fontId="18" fillId="0" borderId="0" xfId="50" applyFont="1">
      <alignment/>
      <protection/>
    </xf>
    <xf numFmtId="0" fontId="19" fillId="0" borderId="51" xfId="50" applyFont="1" applyFill="1" applyBorder="1" applyAlignment="1">
      <alignment horizontal="center" vertical="center"/>
      <protection/>
    </xf>
    <xf numFmtId="0" fontId="19" fillId="0" borderId="51" xfId="50" applyFont="1" applyFill="1" applyBorder="1" applyAlignment="1">
      <alignment vertical="center" wrapText="1"/>
      <protection/>
    </xf>
    <xf numFmtId="0" fontId="19" fillId="0" borderId="48" xfId="50" applyFont="1" applyFill="1" applyBorder="1" applyAlignment="1">
      <alignment horizontal="center" vertical="center"/>
      <protection/>
    </xf>
    <xf numFmtId="3" fontId="30" fillId="0" borderId="116" xfId="50" applyNumberFormat="1" applyFont="1" applyBorder="1" applyAlignment="1">
      <alignment horizontal="center"/>
      <protection/>
    </xf>
    <xf numFmtId="176" fontId="21" fillId="41" borderId="97" xfId="0" applyNumberFormat="1" applyFont="1" applyFill="1" applyBorder="1" applyAlignment="1">
      <alignment horizontal="center" vertical="center"/>
    </xf>
    <xf numFmtId="176" fontId="21" fillId="41" borderId="204" xfId="0" applyNumberFormat="1" applyFont="1" applyFill="1" applyBorder="1" applyAlignment="1">
      <alignment horizontal="center" vertical="center"/>
    </xf>
    <xf numFmtId="0" fontId="19" fillId="0" borderId="181" xfId="0" applyFont="1" applyBorder="1" applyAlignment="1">
      <alignment horizontal="center" vertical="center" wrapText="1"/>
    </xf>
    <xf numFmtId="0" fontId="19" fillId="0" borderId="181" xfId="50" applyFont="1" applyBorder="1" applyAlignment="1">
      <alignment horizontal="center" vertical="center" wrapText="1"/>
      <protection/>
    </xf>
    <xf numFmtId="0" fontId="19" fillId="43" borderId="51" xfId="0" applyFont="1" applyFill="1" applyBorder="1" applyAlignment="1">
      <alignment horizontal="center" vertical="center"/>
    </xf>
    <xf numFmtId="0" fontId="19" fillId="43" borderId="51" xfId="0" applyFont="1" applyFill="1" applyBorder="1" applyAlignment="1">
      <alignment horizontal="center" vertical="center" wrapText="1"/>
    </xf>
    <xf numFmtId="0" fontId="19" fillId="43" borderId="149" xfId="0" applyFont="1" applyFill="1" applyBorder="1" applyAlignment="1">
      <alignment horizontal="center" vertical="center"/>
    </xf>
    <xf numFmtId="0" fontId="19" fillId="0" borderId="146" xfId="0" applyFont="1" applyBorder="1" applyAlignment="1">
      <alignment horizontal="center" vertical="center" wrapText="1"/>
    </xf>
    <xf numFmtId="0" fontId="19" fillId="0" borderId="147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18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265" xfId="0" applyFont="1" applyBorder="1" applyAlignment="1">
      <alignment horizontal="center" vertical="center" wrapText="1"/>
    </xf>
    <xf numFmtId="0" fontId="19" fillId="0" borderId="18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1" fillId="12" borderId="266" xfId="0" applyFont="1" applyFill="1" applyBorder="1" applyAlignment="1">
      <alignment horizontal="center" vertical="center" wrapText="1"/>
    </xf>
    <xf numFmtId="0" fontId="22" fillId="12" borderId="266" xfId="0" applyFont="1" applyFill="1" applyBorder="1" applyAlignment="1">
      <alignment horizontal="center" vertical="center" wrapText="1"/>
    </xf>
    <xf numFmtId="0" fontId="22" fillId="12" borderId="267" xfId="0" applyFont="1" applyFill="1" applyBorder="1" applyAlignment="1">
      <alignment horizontal="center" vertical="center" wrapText="1"/>
    </xf>
    <xf numFmtId="174" fontId="23" fillId="12" borderId="0" xfId="0" applyNumberFormat="1" applyFont="1" applyFill="1" applyAlignment="1">
      <alignment horizontal="center" vertical="center" wrapText="1"/>
    </xf>
    <xf numFmtId="174" fontId="23" fillId="12" borderId="49" xfId="0" applyNumberFormat="1" applyFont="1" applyFill="1" applyBorder="1" applyAlignment="1">
      <alignment horizontal="center" vertical="center" wrapText="1"/>
    </xf>
    <xf numFmtId="174" fontId="23" fillId="12" borderId="67" xfId="0" applyNumberFormat="1" applyFont="1" applyFill="1" applyBorder="1" applyAlignment="1">
      <alignment horizontal="center" vertical="center" wrapText="1"/>
    </xf>
    <xf numFmtId="174" fontId="23" fillId="12" borderId="68" xfId="0" applyNumberFormat="1" applyFont="1" applyFill="1" applyBorder="1" applyAlignment="1">
      <alignment horizontal="center" vertical="center" wrapText="1"/>
    </xf>
    <xf numFmtId="174" fontId="23" fillId="12" borderId="51" xfId="0" applyNumberFormat="1" applyFont="1" applyFill="1" applyBorder="1" applyAlignment="1">
      <alignment horizontal="center" vertical="center" wrapText="1"/>
    </xf>
    <xf numFmtId="174" fontId="23" fillId="12" borderId="157" xfId="0" applyNumberFormat="1" applyFont="1" applyFill="1" applyBorder="1" applyAlignment="1">
      <alignment horizontal="center" vertical="center" wrapText="1"/>
    </xf>
    <xf numFmtId="174" fontId="23" fillId="12" borderId="55" xfId="0" applyNumberFormat="1" applyFont="1" applyFill="1" applyBorder="1" applyAlignment="1">
      <alignment horizontal="center" vertical="center" wrapText="1"/>
    </xf>
    <xf numFmtId="174" fontId="23" fillId="12" borderId="157" xfId="0" applyNumberFormat="1" applyFont="1" applyFill="1" applyBorder="1" applyAlignment="1">
      <alignment horizontal="center" vertical="center"/>
    </xf>
    <xf numFmtId="174" fontId="23" fillId="12" borderId="0" xfId="0" applyNumberFormat="1" applyFont="1" applyFill="1" applyAlignment="1">
      <alignment horizontal="center" vertical="center"/>
    </xf>
    <xf numFmtId="174" fontId="23" fillId="12" borderId="66" xfId="0" applyNumberFormat="1" applyFont="1" applyFill="1" applyBorder="1" applyAlignment="1">
      <alignment horizontal="center" vertical="center" wrapText="1"/>
    </xf>
    <xf numFmtId="174" fontId="23" fillId="12" borderId="70" xfId="0" applyNumberFormat="1" applyFont="1" applyFill="1" applyBorder="1" applyAlignment="1">
      <alignment horizontal="center" vertical="center" wrapText="1"/>
    </xf>
    <xf numFmtId="1" fontId="92" fillId="0" borderId="226" xfId="0" applyNumberFormat="1" applyFont="1" applyBorder="1" applyAlignment="1">
      <alignment horizontal="center" vertical="center"/>
    </xf>
    <xf numFmtId="0" fontId="92" fillId="0" borderId="227" xfId="0" applyFont="1" applyBorder="1" applyAlignment="1">
      <alignment horizontal="center" vertical="center"/>
    </xf>
    <xf numFmtId="0" fontId="92" fillId="0" borderId="231" xfId="0" applyFont="1" applyBorder="1" applyAlignment="1">
      <alignment horizontal="center" vertical="center"/>
    </xf>
    <xf numFmtId="0" fontId="92" fillId="0" borderId="231" xfId="0" applyFont="1" applyBorder="1" applyAlignment="1">
      <alignment horizontal="center"/>
    </xf>
    <xf numFmtId="0" fontId="92" fillId="0" borderId="228" xfId="0" applyFont="1" applyBorder="1" applyAlignment="1">
      <alignment horizontal="center"/>
    </xf>
    <xf numFmtId="0" fontId="92" fillId="0" borderId="253" xfId="0" applyFont="1" applyBorder="1" applyAlignment="1">
      <alignment horizontal="center"/>
    </xf>
    <xf numFmtId="0" fontId="92" fillId="0" borderId="225" xfId="0" applyFont="1" applyBorder="1" applyAlignment="1">
      <alignment horizontal="center"/>
    </xf>
    <xf numFmtId="0" fontId="92" fillId="0" borderId="229" xfId="0" applyFont="1" applyBorder="1" applyAlignment="1">
      <alignment horizontal="center"/>
    </xf>
    <xf numFmtId="1" fontId="92" fillId="0" borderId="233" xfId="0" applyNumberFormat="1" applyFont="1" applyBorder="1" applyAlignment="1">
      <alignment horizontal="center" vertical="center"/>
    </xf>
    <xf numFmtId="0" fontId="92" fillId="0" borderId="234" xfId="0" applyFont="1" applyBorder="1" applyAlignment="1">
      <alignment horizontal="center" vertical="center"/>
    </xf>
    <xf numFmtId="0" fontId="92" fillId="0" borderId="238" xfId="0" applyFont="1" applyBorder="1" applyAlignment="1">
      <alignment horizontal="center" vertical="center"/>
    </xf>
    <xf numFmtId="0" fontId="92" fillId="0" borderId="238" xfId="0" applyFont="1" applyBorder="1" applyAlignment="1">
      <alignment horizontal="center"/>
    </xf>
    <xf numFmtId="0" fontId="92" fillId="0" borderId="235" xfId="0" applyFont="1" applyBorder="1" applyAlignment="1">
      <alignment horizontal="center"/>
    </xf>
    <xf numFmtId="0" fontId="92" fillId="0" borderId="255" xfId="0" applyFont="1" applyBorder="1" applyAlignment="1">
      <alignment horizontal="center"/>
    </xf>
    <xf numFmtId="0" fontId="92" fillId="0" borderId="232" xfId="0" applyFont="1" applyBorder="1" applyAlignment="1">
      <alignment horizontal="center"/>
    </xf>
    <xf numFmtId="0" fontId="92" fillId="0" borderId="236" xfId="0" applyFont="1" applyBorder="1" applyAlignment="1">
      <alignment horizontal="center"/>
    </xf>
    <xf numFmtId="1" fontId="92" fillId="0" borderId="247" xfId="0" applyNumberFormat="1" applyFont="1" applyBorder="1" applyAlignment="1">
      <alignment horizontal="center" vertical="center"/>
    </xf>
    <xf numFmtId="0" fontId="92" fillId="0" borderId="248" xfId="0" applyFont="1" applyBorder="1" applyAlignment="1">
      <alignment horizontal="center" vertical="center"/>
    </xf>
    <xf numFmtId="0" fontId="92" fillId="0" borderId="252" xfId="0" applyFont="1" applyBorder="1" applyAlignment="1">
      <alignment horizontal="center" vertical="center"/>
    </xf>
    <xf numFmtId="0" fontId="92" fillId="0" borderId="252" xfId="0" applyFont="1" applyBorder="1" applyAlignment="1">
      <alignment horizontal="center"/>
    </xf>
    <xf numFmtId="0" fontId="92" fillId="0" borderId="249" xfId="0" applyFont="1" applyBorder="1" applyAlignment="1">
      <alignment horizontal="center"/>
    </xf>
    <xf numFmtId="0" fontId="92" fillId="0" borderId="268" xfId="0" applyFont="1" applyBorder="1" applyAlignment="1">
      <alignment horizontal="center"/>
    </xf>
    <xf numFmtId="0" fontId="92" fillId="0" borderId="246" xfId="0" applyFont="1" applyBorder="1" applyAlignment="1">
      <alignment horizontal="center"/>
    </xf>
    <xf numFmtId="0" fontId="92" fillId="0" borderId="250" xfId="0" applyFont="1" applyBorder="1" applyAlignment="1">
      <alignment horizontal="center"/>
    </xf>
    <xf numFmtId="0" fontId="92" fillId="0" borderId="240" xfId="0" applyFont="1" applyBorder="1" applyAlignment="1">
      <alignment horizontal="center"/>
    </xf>
    <xf numFmtId="0" fontId="92" fillId="0" borderId="241" xfId="0" applyFont="1" applyBorder="1" applyAlignment="1">
      <alignment horizontal="center"/>
    </xf>
    <xf numFmtId="0" fontId="92" fillId="0" borderId="245" xfId="0" applyFont="1" applyBorder="1" applyAlignment="1">
      <alignment horizontal="center"/>
    </xf>
    <xf numFmtId="0" fontId="92" fillId="0" borderId="242" xfId="0" applyFont="1" applyBorder="1" applyAlignment="1">
      <alignment horizontal="center"/>
    </xf>
    <xf numFmtId="0" fontId="92" fillId="0" borderId="257" xfId="0" applyFont="1" applyBorder="1" applyAlignment="1">
      <alignment horizontal="center"/>
    </xf>
    <xf numFmtId="0" fontId="92" fillId="0" borderId="239" xfId="0" applyFont="1" applyBorder="1" applyAlignment="1">
      <alignment horizontal="center"/>
    </xf>
    <xf numFmtId="0" fontId="92" fillId="0" borderId="243" xfId="0" applyFont="1" applyBorder="1" applyAlignment="1">
      <alignment horizontal="center"/>
    </xf>
    <xf numFmtId="0" fontId="92" fillId="0" borderId="226" xfId="0" applyFont="1" applyBorder="1" applyAlignment="1">
      <alignment horizontal="center"/>
    </xf>
    <xf numFmtId="0" fontId="92" fillId="0" borderId="227" xfId="0" applyFont="1" applyBorder="1" applyAlignment="1">
      <alignment horizontal="center"/>
    </xf>
    <xf numFmtId="0" fontId="92" fillId="0" borderId="233" xfId="0" applyFont="1" applyBorder="1" applyAlignment="1">
      <alignment horizontal="center" vertical="center"/>
    </xf>
    <xf numFmtId="0" fontId="92" fillId="0" borderId="235" xfId="0" applyFont="1" applyBorder="1" applyAlignment="1">
      <alignment horizontal="center" vertical="center"/>
    </xf>
    <xf numFmtId="0" fontId="92" fillId="0" borderId="236" xfId="0" applyFont="1" applyBorder="1" applyAlignment="1">
      <alignment horizontal="center" vertical="center"/>
    </xf>
    <xf numFmtId="0" fontId="92" fillId="0" borderId="233" xfId="0" applyFont="1" applyBorder="1" applyAlignment="1">
      <alignment horizontal="center"/>
    </xf>
    <xf numFmtId="0" fontId="92" fillId="0" borderId="234" xfId="0" applyFont="1" applyBorder="1" applyAlignment="1">
      <alignment horizontal="center"/>
    </xf>
    <xf numFmtId="0" fontId="92" fillId="0" borderId="247" xfId="0" applyFont="1" applyBorder="1" applyAlignment="1">
      <alignment horizontal="center"/>
    </xf>
    <xf numFmtId="0" fontId="92" fillId="0" borderId="248" xfId="0" applyFont="1" applyBorder="1" applyAlignment="1">
      <alignment horizontal="center"/>
    </xf>
    <xf numFmtId="0" fontId="92" fillId="44" borderId="226" xfId="0" applyFont="1" applyFill="1" applyBorder="1" applyAlignment="1">
      <alignment horizontal="center"/>
    </xf>
    <xf numFmtId="0" fontId="92" fillId="44" borderId="227" xfId="0" applyFont="1" applyFill="1" applyBorder="1" applyAlignment="1">
      <alignment horizontal="center"/>
    </xf>
    <xf numFmtId="0" fontId="92" fillId="44" borderId="231" xfId="0" applyFont="1" applyFill="1" applyBorder="1" applyAlignment="1">
      <alignment horizontal="center"/>
    </xf>
    <xf numFmtId="0" fontId="92" fillId="44" borderId="228" xfId="0" applyFont="1" applyFill="1" applyBorder="1" applyAlignment="1">
      <alignment horizontal="center"/>
    </xf>
    <xf numFmtId="0" fontId="92" fillId="44" borderId="253" xfId="0" applyFont="1" applyFill="1" applyBorder="1" applyAlignment="1">
      <alignment horizontal="center"/>
    </xf>
    <xf numFmtId="0" fontId="92" fillId="44" borderId="225" xfId="0" applyFont="1" applyFill="1" applyBorder="1" applyAlignment="1">
      <alignment horizontal="center"/>
    </xf>
    <xf numFmtId="0" fontId="92" fillId="44" borderId="229" xfId="0" applyFont="1" applyFill="1" applyBorder="1" applyAlignment="1">
      <alignment horizontal="center"/>
    </xf>
    <xf numFmtId="0" fontId="92" fillId="44" borderId="233" xfId="0" applyFont="1" applyFill="1" applyBorder="1" applyAlignment="1">
      <alignment horizontal="center"/>
    </xf>
    <xf numFmtId="0" fontId="92" fillId="44" borderId="234" xfId="0" applyFont="1" applyFill="1" applyBorder="1" applyAlignment="1">
      <alignment horizontal="center"/>
    </xf>
    <xf numFmtId="0" fontId="92" fillId="44" borderId="238" xfId="0" applyFont="1" applyFill="1" applyBorder="1" applyAlignment="1">
      <alignment horizontal="center"/>
    </xf>
    <xf numFmtId="0" fontId="92" fillId="44" borderId="235" xfId="0" applyFont="1" applyFill="1" applyBorder="1" applyAlignment="1">
      <alignment horizontal="center"/>
    </xf>
    <xf numFmtId="0" fontId="92" fillId="44" borderId="255" xfId="0" applyFont="1" applyFill="1" applyBorder="1" applyAlignment="1">
      <alignment horizontal="center"/>
    </xf>
    <xf numFmtId="0" fontId="92" fillId="44" borderId="232" xfId="0" applyFont="1" applyFill="1" applyBorder="1" applyAlignment="1">
      <alignment horizontal="center"/>
    </xf>
    <xf numFmtId="0" fontId="92" fillId="44" borderId="236" xfId="0" applyFont="1" applyFill="1" applyBorder="1" applyAlignment="1">
      <alignment horizontal="center"/>
    </xf>
    <xf numFmtId="1" fontId="92" fillId="44" borderId="240" xfId="0" applyNumberFormat="1" applyFont="1" applyFill="1" applyBorder="1" applyAlignment="1">
      <alignment horizontal="center" vertical="center"/>
    </xf>
    <xf numFmtId="0" fontId="92" fillId="44" borderId="241" xfId="0" applyFont="1" applyFill="1" applyBorder="1" applyAlignment="1">
      <alignment horizontal="center"/>
    </xf>
    <xf numFmtId="0" fontId="92" fillId="44" borderId="245" xfId="0" applyFont="1" applyFill="1" applyBorder="1" applyAlignment="1">
      <alignment horizontal="center"/>
    </xf>
    <xf numFmtId="0" fontId="92" fillId="44" borderId="242" xfId="0" applyFont="1" applyFill="1" applyBorder="1" applyAlignment="1">
      <alignment horizontal="center"/>
    </xf>
    <xf numFmtId="0" fontId="92" fillId="44" borderId="257" xfId="0" applyFont="1" applyFill="1" applyBorder="1" applyAlignment="1">
      <alignment horizontal="center"/>
    </xf>
    <xf numFmtId="0" fontId="92" fillId="44" borderId="239" xfId="0" applyFont="1" applyFill="1" applyBorder="1" applyAlignment="1">
      <alignment horizontal="center"/>
    </xf>
    <xf numFmtId="0" fontId="92" fillId="44" borderId="243" xfId="0" applyFont="1" applyFill="1" applyBorder="1" applyAlignment="1">
      <alignment horizontal="center"/>
    </xf>
    <xf numFmtId="49" fontId="92" fillId="0" borderId="227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1" fontId="92" fillId="0" borderId="240" xfId="0" applyNumberFormat="1" applyFont="1" applyBorder="1" applyAlignment="1">
      <alignment horizontal="center" vertical="center"/>
    </xf>
    <xf numFmtId="0" fontId="24" fillId="0" borderId="196" xfId="0" applyFont="1" applyBorder="1" applyAlignment="1">
      <alignment horizontal="center" vertical="center"/>
    </xf>
    <xf numFmtId="0" fontId="25" fillId="0" borderId="269" xfId="0" applyFont="1" applyBorder="1" applyAlignment="1">
      <alignment horizontal="center" vertical="center"/>
    </xf>
    <xf numFmtId="174" fontId="24" fillId="0" borderId="198" xfId="0" applyNumberFormat="1" applyFont="1" applyBorder="1" applyAlignment="1">
      <alignment horizontal="center" vertical="center"/>
    </xf>
    <xf numFmtId="174" fontId="25" fillId="0" borderId="270" xfId="0" applyNumberFormat="1" applyFont="1" applyBorder="1" applyAlignment="1">
      <alignment horizontal="center" vertical="center"/>
    </xf>
    <xf numFmtId="174" fontId="25" fillId="0" borderId="199" xfId="0" applyNumberFormat="1" applyFont="1" applyBorder="1" applyAlignment="1">
      <alignment horizontal="center" vertical="center"/>
    </xf>
    <xf numFmtId="0" fontId="23" fillId="18" borderId="222" xfId="0" applyFont="1" applyFill="1" applyBorder="1" applyAlignment="1">
      <alignment horizontal="center" vertical="center"/>
    </xf>
    <xf numFmtId="0" fontId="23" fillId="18" borderId="202" xfId="0" applyFont="1" applyFill="1" applyBorder="1" applyAlignment="1">
      <alignment horizontal="center" vertical="center"/>
    </xf>
    <xf numFmtId="0" fontId="23" fillId="0" borderId="202" xfId="0" applyFont="1" applyBorder="1" applyAlignment="1">
      <alignment horizontal="center" vertical="center"/>
    </xf>
    <xf numFmtId="0" fontId="23" fillId="18" borderId="271" xfId="0" applyFont="1" applyFill="1" applyBorder="1" applyAlignment="1">
      <alignment horizontal="center" vertical="center"/>
    </xf>
    <xf numFmtId="0" fontId="23" fillId="0" borderId="216" xfId="0" applyFont="1" applyBorder="1" applyAlignment="1">
      <alignment horizontal="center" vertical="center"/>
    </xf>
    <xf numFmtId="0" fontId="23" fillId="0" borderId="271" xfId="0" applyFont="1" applyBorder="1" applyAlignment="1">
      <alignment horizontal="center" vertical="center"/>
    </xf>
    <xf numFmtId="0" fontId="23" fillId="0" borderId="262" xfId="0" applyFont="1" applyBorder="1" applyAlignment="1">
      <alignment horizontal="center" vertical="center"/>
    </xf>
    <xf numFmtId="0" fontId="23" fillId="0" borderId="272" xfId="0" applyFont="1" applyBorder="1" applyAlignment="1">
      <alignment horizontal="center" vertical="center"/>
    </xf>
    <xf numFmtId="174" fontId="22" fillId="41" borderId="273" xfId="0" applyNumberFormat="1" applyFont="1" applyFill="1" applyBorder="1" applyAlignment="1">
      <alignment horizontal="center" vertical="center"/>
    </xf>
    <xf numFmtId="177" fontId="22" fillId="41" borderId="274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176" fontId="21" fillId="41" borderId="97" xfId="0" applyNumberFormat="1" applyFont="1" applyFill="1" applyBorder="1" applyAlignment="1">
      <alignment horizontal="center" vertical="center"/>
    </xf>
    <xf numFmtId="176" fontId="21" fillId="41" borderId="204" xfId="0" applyNumberFormat="1" applyFont="1" applyFill="1" applyBorder="1" applyAlignment="1">
      <alignment horizontal="center" vertical="center"/>
    </xf>
    <xf numFmtId="0" fontId="19" fillId="0" borderId="181" xfId="0" applyFont="1" applyBorder="1" applyAlignment="1">
      <alignment horizontal="center" vertical="center" wrapText="1"/>
    </xf>
    <xf numFmtId="0" fontId="19" fillId="0" borderId="149" xfId="0" applyFont="1" applyBorder="1" applyAlignment="1">
      <alignment horizontal="center" vertical="center" wrapText="1"/>
    </xf>
    <xf numFmtId="0" fontId="19" fillId="43" borderId="12" xfId="0" applyFont="1" applyFill="1" applyBorder="1" applyAlignment="1">
      <alignment horizontal="center" vertical="center" wrapText="1"/>
    </xf>
    <xf numFmtId="0" fontId="93" fillId="0" borderId="0" xfId="50" applyFont="1" applyFill="1">
      <alignment/>
      <protection/>
    </xf>
    <xf numFmtId="0" fontId="2" fillId="0" borderId="0" xfId="50" applyFont="1" applyFill="1">
      <alignment/>
      <protection/>
    </xf>
    <xf numFmtId="0" fontId="18" fillId="0" borderId="0" xfId="50" applyFont="1" applyFill="1">
      <alignment/>
      <protection/>
    </xf>
    <xf numFmtId="0" fontId="33" fillId="0" borderId="0" xfId="50" applyFont="1" applyFill="1" applyAlignment="1">
      <alignment horizontal="left" indent="4"/>
      <protection/>
    </xf>
    <xf numFmtId="0" fontId="33" fillId="0" borderId="0" xfId="50" applyFont="1" applyFill="1" applyAlignment="1">
      <alignment/>
      <protection/>
    </xf>
    <xf numFmtId="0" fontId="19" fillId="43" borderId="51" xfId="50" applyFont="1" applyFill="1" applyBorder="1" applyAlignment="1">
      <alignment horizontal="center" vertical="center"/>
      <protection/>
    </xf>
    <xf numFmtId="0" fontId="19" fillId="43" borderId="51" xfId="50" applyFont="1" applyFill="1" applyBorder="1" applyAlignment="1">
      <alignment horizontal="center" vertical="center" wrapText="1"/>
      <protection/>
    </xf>
    <xf numFmtId="0" fontId="19" fillId="43" borderId="149" xfId="50" applyFont="1" applyFill="1" applyBorder="1" applyAlignment="1">
      <alignment horizontal="center" vertical="center"/>
      <protection/>
    </xf>
    <xf numFmtId="0" fontId="19" fillId="0" borderId="146" xfId="50" applyFont="1" applyBorder="1" applyAlignment="1">
      <alignment horizontal="center" vertical="center" wrapText="1"/>
      <protection/>
    </xf>
    <xf numFmtId="0" fontId="19" fillId="0" borderId="147" xfId="50" applyFont="1" applyBorder="1" applyAlignment="1">
      <alignment horizontal="center" vertical="center" wrapText="1"/>
      <protection/>
    </xf>
    <xf numFmtId="0" fontId="19" fillId="0" borderId="183" xfId="50" applyFont="1" applyBorder="1" applyAlignment="1">
      <alignment horizontal="center" vertical="center" wrapText="1"/>
      <protection/>
    </xf>
    <xf numFmtId="0" fontId="79" fillId="0" borderId="0" xfId="50" applyAlignment="1">
      <alignment horizontal="center" vertical="center"/>
      <protection/>
    </xf>
    <xf numFmtId="0" fontId="19" fillId="0" borderId="182" xfId="50" applyFont="1" applyBorder="1" applyAlignment="1">
      <alignment horizontal="center" vertical="center" wrapText="1"/>
      <protection/>
    </xf>
    <xf numFmtId="0" fontId="19" fillId="0" borderId="49" xfId="50" applyFont="1" applyBorder="1" applyAlignment="1">
      <alignment horizontal="center" vertical="center" wrapText="1"/>
      <protection/>
    </xf>
    <xf numFmtId="0" fontId="19" fillId="0" borderId="51" xfId="50" applyFont="1" applyBorder="1" applyAlignment="1">
      <alignment horizontal="center" vertical="center"/>
      <protection/>
    </xf>
    <xf numFmtId="0" fontId="79" fillId="0" borderId="0" xfId="50" applyAlignment="1">
      <alignment vertical="center"/>
      <protection/>
    </xf>
    <xf numFmtId="174" fontId="23" fillId="12" borderId="0" xfId="50" applyNumberFormat="1" applyFont="1" applyFill="1" applyAlignment="1">
      <alignment horizontal="center" vertical="center" wrapText="1"/>
      <protection/>
    </xf>
    <xf numFmtId="174" fontId="23" fillId="12" borderId="49" xfId="50" applyNumberFormat="1" applyFont="1" applyFill="1" applyBorder="1" applyAlignment="1">
      <alignment horizontal="center" vertical="center" wrapText="1"/>
      <protection/>
    </xf>
    <xf numFmtId="174" fontId="23" fillId="12" borderId="67" xfId="50" applyNumberFormat="1" applyFont="1" applyFill="1" applyBorder="1" applyAlignment="1">
      <alignment horizontal="center" vertical="center" wrapText="1"/>
      <protection/>
    </xf>
    <xf numFmtId="174" fontId="23" fillId="12" borderId="68" xfId="50" applyNumberFormat="1" applyFont="1" applyFill="1" applyBorder="1" applyAlignment="1">
      <alignment horizontal="center" vertical="center" wrapText="1"/>
      <protection/>
    </xf>
    <xf numFmtId="174" fontId="23" fillId="12" borderId="51" xfId="50" applyNumberFormat="1" applyFont="1" applyFill="1" applyBorder="1" applyAlignment="1">
      <alignment horizontal="center" vertical="center" wrapText="1"/>
      <protection/>
    </xf>
    <xf numFmtId="174" fontId="23" fillId="12" borderId="157" xfId="50" applyNumberFormat="1" applyFont="1" applyFill="1" applyBorder="1" applyAlignment="1">
      <alignment horizontal="center" vertical="center" wrapText="1"/>
      <protection/>
    </xf>
    <xf numFmtId="174" fontId="23" fillId="12" borderId="55" xfId="50" applyNumberFormat="1" applyFont="1" applyFill="1" applyBorder="1" applyAlignment="1">
      <alignment horizontal="center" vertical="center" wrapText="1"/>
      <protection/>
    </xf>
    <xf numFmtId="174" fontId="23" fillId="12" borderId="157" xfId="50" applyNumberFormat="1" applyFont="1" applyFill="1" applyBorder="1" applyAlignment="1">
      <alignment horizontal="center" vertical="center"/>
      <protection/>
    </xf>
    <xf numFmtId="174" fontId="23" fillId="12" borderId="0" xfId="50" applyNumberFormat="1" applyFont="1" applyFill="1" applyAlignment="1">
      <alignment horizontal="center" vertical="center"/>
      <protection/>
    </xf>
    <xf numFmtId="174" fontId="23" fillId="12" borderId="66" xfId="50" applyNumberFormat="1" applyFont="1" applyFill="1" applyBorder="1" applyAlignment="1">
      <alignment horizontal="center" vertical="center" wrapText="1"/>
      <protection/>
    </xf>
    <xf numFmtId="174" fontId="23" fillId="12" borderId="70" xfId="50" applyNumberFormat="1" applyFont="1" applyFill="1" applyBorder="1" applyAlignment="1">
      <alignment horizontal="center" vertical="center" wrapText="1"/>
      <protection/>
    </xf>
    <xf numFmtId="1" fontId="92" fillId="0" borderId="226" xfId="50" applyNumberFormat="1" applyFont="1" applyFill="1" applyBorder="1" applyAlignment="1">
      <alignment horizontal="center" vertical="center"/>
      <protection/>
    </xf>
    <xf numFmtId="0" fontId="92" fillId="0" borderId="227" xfId="50" applyFont="1" applyFill="1" applyBorder="1" applyAlignment="1">
      <alignment horizontal="center" vertical="center"/>
      <protection/>
    </xf>
    <xf numFmtId="0" fontId="92" fillId="0" borderId="231" xfId="50" applyFont="1" applyFill="1" applyBorder="1" applyAlignment="1">
      <alignment horizontal="center" vertical="center"/>
      <protection/>
    </xf>
    <xf numFmtId="0" fontId="92" fillId="0" borderId="231" xfId="50" applyFont="1" applyFill="1" applyBorder="1" applyAlignment="1">
      <alignment horizontal="center"/>
      <protection/>
    </xf>
    <xf numFmtId="0" fontId="92" fillId="0" borderId="228" xfId="50" applyFont="1" applyFill="1" applyBorder="1" applyAlignment="1">
      <alignment horizontal="center"/>
      <protection/>
    </xf>
    <xf numFmtId="0" fontId="92" fillId="0" borderId="253" xfId="50" applyFont="1" applyFill="1" applyBorder="1" applyAlignment="1">
      <alignment horizontal="center"/>
      <protection/>
    </xf>
    <xf numFmtId="0" fontId="92" fillId="0" borderId="225" xfId="50" applyFont="1" applyFill="1" applyBorder="1" applyAlignment="1">
      <alignment horizontal="center"/>
      <protection/>
    </xf>
    <xf numFmtId="0" fontId="92" fillId="0" borderId="229" xfId="50" applyFont="1" applyFill="1" applyBorder="1" applyAlignment="1">
      <alignment horizontal="center"/>
      <protection/>
    </xf>
    <xf numFmtId="1" fontId="92" fillId="0" borderId="233" xfId="50" applyNumberFormat="1" applyFont="1" applyFill="1" applyBorder="1" applyAlignment="1">
      <alignment horizontal="center" vertical="center"/>
      <protection/>
    </xf>
    <xf numFmtId="0" fontId="92" fillId="0" borderId="234" xfId="50" applyFont="1" applyFill="1" applyBorder="1" applyAlignment="1">
      <alignment horizontal="center" vertical="center"/>
      <protection/>
    </xf>
    <xf numFmtId="0" fontId="92" fillId="0" borderId="238" xfId="50" applyFont="1" applyFill="1" applyBorder="1" applyAlignment="1">
      <alignment horizontal="center" vertical="center"/>
      <protection/>
    </xf>
    <xf numFmtId="0" fontId="92" fillId="0" borderId="238" xfId="50" applyFont="1" applyFill="1" applyBorder="1" applyAlignment="1">
      <alignment horizontal="center"/>
      <protection/>
    </xf>
    <xf numFmtId="0" fontId="92" fillId="0" borderId="235" xfId="50" applyFont="1" applyFill="1" applyBorder="1" applyAlignment="1">
      <alignment horizontal="center"/>
      <protection/>
    </xf>
    <xf numFmtId="0" fontId="92" fillId="0" borderId="255" xfId="50" applyFont="1" applyFill="1" applyBorder="1" applyAlignment="1">
      <alignment horizontal="center"/>
      <protection/>
    </xf>
    <xf numFmtId="0" fontId="92" fillId="0" borderId="232" xfId="50" applyFont="1" applyFill="1" applyBorder="1" applyAlignment="1">
      <alignment horizontal="center"/>
      <protection/>
    </xf>
    <xf numFmtId="0" fontId="92" fillId="0" borderId="236" xfId="50" applyFont="1" applyFill="1" applyBorder="1" applyAlignment="1">
      <alignment horizontal="center"/>
      <protection/>
    </xf>
    <xf numFmtId="1" fontId="92" fillId="0" borderId="247" xfId="50" applyNumberFormat="1" applyFont="1" applyFill="1" applyBorder="1" applyAlignment="1">
      <alignment horizontal="center" vertical="center"/>
      <protection/>
    </xf>
    <xf numFmtId="0" fontId="92" fillId="0" borderId="248" xfId="50" applyFont="1" applyFill="1" applyBorder="1" applyAlignment="1">
      <alignment horizontal="center" vertical="center"/>
      <protection/>
    </xf>
    <xf numFmtId="0" fontId="92" fillId="0" borderId="252" xfId="50" applyFont="1" applyFill="1" applyBorder="1" applyAlignment="1">
      <alignment horizontal="center" vertical="center"/>
      <protection/>
    </xf>
    <xf numFmtId="0" fontId="92" fillId="0" borderId="252" xfId="50" applyFont="1" applyFill="1" applyBorder="1" applyAlignment="1">
      <alignment horizontal="center"/>
      <protection/>
    </xf>
    <xf numFmtId="0" fontId="92" fillId="0" borderId="249" xfId="50" applyFont="1" applyFill="1" applyBorder="1" applyAlignment="1">
      <alignment horizontal="center"/>
      <protection/>
    </xf>
    <xf numFmtId="0" fontId="92" fillId="0" borderId="268" xfId="50" applyFont="1" applyFill="1" applyBorder="1" applyAlignment="1">
      <alignment horizontal="center"/>
      <protection/>
    </xf>
    <xf numFmtId="0" fontId="92" fillId="0" borderId="246" xfId="50" applyFont="1" applyFill="1" applyBorder="1" applyAlignment="1">
      <alignment horizontal="center"/>
      <protection/>
    </xf>
    <xf numFmtId="0" fontId="92" fillId="0" borderId="250" xfId="50" applyFont="1" applyFill="1" applyBorder="1" applyAlignment="1">
      <alignment horizontal="center"/>
      <protection/>
    </xf>
    <xf numFmtId="174" fontId="79" fillId="0" borderId="0" xfId="50" applyNumberFormat="1">
      <alignment/>
      <protection/>
    </xf>
    <xf numFmtId="0" fontId="92" fillId="0" borderId="240" xfId="50" applyFont="1" applyFill="1" applyBorder="1" applyAlignment="1">
      <alignment horizontal="center"/>
      <protection/>
    </xf>
    <xf numFmtId="0" fontId="92" fillId="0" borderId="241" xfId="50" applyFont="1" applyFill="1" applyBorder="1" applyAlignment="1">
      <alignment horizontal="center"/>
      <protection/>
    </xf>
    <xf numFmtId="0" fontId="92" fillId="0" borderId="245" xfId="50" applyFont="1" applyFill="1" applyBorder="1" applyAlignment="1">
      <alignment horizontal="center"/>
      <protection/>
    </xf>
    <xf numFmtId="0" fontId="92" fillId="0" borderId="242" xfId="50" applyFont="1" applyFill="1" applyBorder="1" applyAlignment="1">
      <alignment horizontal="center"/>
      <protection/>
    </xf>
    <xf numFmtId="0" fontId="92" fillId="0" borderId="257" xfId="50" applyFont="1" applyFill="1" applyBorder="1" applyAlignment="1">
      <alignment horizontal="center"/>
      <protection/>
    </xf>
    <xf numFmtId="0" fontId="92" fillId="0" borderId="239" xfId="50" applyFont="1" applyFill="1" applyBorder="1" applyAlignment="1">
      <alignment horizontal="center"/>
      <protection/>
    </xf>
    <xf numFmtId="0" fontId="92" fillId="0" borderId="243" xfId="50" applyFont="1" applyFill="1" applyBorder="1" applyAlignment="1">
      <alignment horizontal="center"/>
      <protection/>
    </xf>
    <xf numFmtId="0" fontId="92" fillId="0" borderId="226" xfId="50" applyFont="1" applyFill="1" applyBorder="1" applyAlignment="1">
      <alignment horizontal="center"/>
      <protection/>
    </xf>
    <xf numFmtId="0" fontId="92" fillId="0" borderId="227" xfId="50" applyFont="1" applyFill="1" applyBorder="1" applyAlignment="1">
      <alignment horizontal="center"/>
      <protection/>
    </xf>
    <xf numFmtId="0" fontId="92" fillId="0" borderId="233" xfId="50" applyFont="1" applyFill="1" applyBorder="1" applyAlignment="1">
      <alignment horizontal="center" vertical="center"/>
      <protection/>
    </xf>
    <xf numFmtId="0" fontId="92" fillId="0" borderId="235" xfId="50" applyFont="1" applyFill="1" applyBorder="1" applyAlignment="1">
      <alignment horizontal="center" vertical="center"/>
      <protection/>
    </xf>
    <xf numFmtId="0" fontId="92" fillId="0" borderId="236" xfId="50" applyFont="1" applyFill="1" applyBorder="1" applyAlignment="1">
      <alignment horizontal="center" vertical="center"/>
      <protection/>
    </xf>
    <xf numFmtId="0" fontId="92" fillId="0" borderId="233" xfId="50" applyFont="1" applyFill="1" applyBorder="1" applyAlignment="1">
      <alignment horizontal="center"/>
      <protection/>
    </xf>
    <xf numFmtId="0" fontId="92" fillId="0" borderId="234" xfId="50" applyFont="1" applyFill="1" applyBorder="1" applyAlignment="1">
      <alignment horizontal="center"/>
      <protection/>
    </xf>
    <xf numFmtId="1" fontId="92" fillId="0" borderId="240" xfId="50" applyNumberFormat="1" applyFont="1" applyFill="1" applyBorder="1" applyAlignment="1">
      <alignment horizontal="center" vertical="center"/>
      <protection/>
    </xf>
    <xf numFmtId="0" fontId="92" fillId="0" borderId="247" xfId="50" applyFont="1" applyFill="1" applyBorder="1" applyAlignment="1">
      <alignment horizontal="center"/>
      <protection/>
    </xf>
    <xf numFmtId="0" fontId="92" fillId="0" borderId="248" xfId="50" applyFont="1" applyFill="1" applyBorder="1" applyAlignment="1">
      <alignment horizontal="center"/>
      <protection/>
    </xf>
    <xf numFmtId="49" fontId="92" fillId="0" borderId="227" xfId="50" applyNumberFormat="1" applyFont="1" applyFill="1" applyBorder="1" applyAlignment="1">
      <alignment horizontal="center"/>
      <protection/>
    </xf>
    <xf numFmtId="0" fontId="79" fillId="0" borderId="0" xfId="50" applyAlignment="1">
      <alignment horizontal="left" vertical="center" wrapText="1"/>
      <protection/>
    </xf>
    <xf numFmtId="0" fontId="79" fillId="0" borderId="275" xfId="50" applyFill="1" applyBorder="1" applyAlignment="1">
      <alignment horizontal="center"/>
      <protection/>
    </xf>
    <xf numFmtId="0" fontId="24" fillId="0" borderId="196" xfId="50" applyFont="1" applyBorder="1" applyAlignment="1">
      <alignment horizontal="center" vertical="center"/>
      <protection/>
    </xf>
    <xf numFmtId="0" fontId="25" fillId="0" borderId="269" xfId="50" applyFont="1" applyBorder="1" applyAlignment="1">
      <alignment horizontal="center" vertical="center"/>
      <protection/>
    </xf>
    <xf numFmtId="174" fontId="24" fillId="0" borderId="198" xfId="50" applyNumberFormat="1" applyFont="1" applyBorder="1" applyAlignment="1">
      <alignment horizontal="center" vertical="center"/>
      <protection/>
    </xf>
    <xf numFmtId="174" fontId="25" fillId="0" borderId="270" xfId="50" applyNumberFormat="1" applyFont="1" applyBorder="1" applyAlignment="1">
      <alignment horizontal="center" vertical="center"/>
      <protection/>
    </xf>
    <xf numFmtId="174" fontId="25" fillId="0" borderId="199" xfId="50" applyNumberFormat="1" applyFont="1" applyBorder="1" applyAlignment="1">
      <alignment horizontal="center" vertical="center"/>
      <protection/>
    </xf>
    <xf numFmtId="0" fontId="23" fillId="0" borderId="224" xfId="50" applyFont="1" applyFill="1" applyBorder="1" applyAlignment="1">
      <alignment horizontal="center" vertical="center"/>
      <protection/>
    </xf>
    <xf numFmtId="3" fontId="21" fillId="41" borderId="204" xfId="50" applyNumberFormat="1" applyFont="1" applyFill="1" applyBorder="1" applyAlignment="1">
      <alignment horizontal="center" vertical="center"/>
      <protection/>
    </xf>
    <xf numFmtId="174" fontId="22" fillId="41" borderId="273" xfId="50" applyNumberFormat="1" applyFont="1" applyFill="1" applyBorder="1" applyAlignment="1">
      <alignment horizontal="center" vertical="center"/>
      <protection/>
    </xf>
    <xf numFmtId="177" fontId="22" fillId="41" borderId="274" xfId="50" applyNumberFormat="1" applyFont="1" applyFill="1" applyBorder="1" applyAlignment="1">
      <alignment horizontal="center" vertical="center"/>
      <protection/>
    </xf>
    <xf numFmtId="176" fontId="21" fillId="41" borderId="204" xfId="50" applyNumberFormat="1" applyFont="1" applyFill="1" applyBorder="1" applyAlignment="1">
      <alignment horizontal="center" vertical="center"/>
      <protection/>
    </xf>
    <xf numFmtId="174" fontId="22" fillId="41" borderId="211" xfId="50" applyNumberFormat="1" applyFont="1" applyFill="1" applyBorder="1" applyAlignment="1">
      <alignment horizontal="center" vertical="center"/>
      <protection/>
    </xf>
    <xf numFmtId="176" fontId="21" fillId="41" borderId="97" xfId="50" applyNumberFormat="1" applyFont="1" applyFill="1" applyBorder="1" applyAlignment="1">
      <alignment horizontal="center" vertical="center"/>
      <protection/>
    </xf>
    <xf numFmtId="0" fontId="28" fillId="0" borderId="0" xfId="50" applyFont="1" applyAlignment="1">
      <alignment horizontal="center" vertical="center"/>
      <protection/>
    </xf>
    <xf numFmtId="0" fontId="29" fillId="0" borderId="0" xfId="50" applyFont="1" applyAlignment="1">
      <alignment horizontal="center" vertical="center"/>
      <protection/>
    </xf>
    <xf numFmtId="3" fontId="30" fillId="0" borderId="0" xfId="50" applyNumberFormat="1" applyFont="1" applyAlignment="1">
      <alignment horizontal="center"/>
      <protection/>
    </xf>
    <xf numFmtId="1" fontId="23" fillId="0" borderId="222" xfId="50" applyNumberFormat="1" applyFont="1" applyFill="1" applyBorder="1" applyAlignment="1">
      <alignment horizontal="center" vertical="center"/>
      <protection/>
    </xf>
    <xf numFmtId="0" fontId="9" fillId="0" borderId="53" xfId="0" applyFont="1" applyBorder="1" applyAlignment="1">
      <alignment horizontal="center"/>
    </xf>
    <xf numFmtId="0" fontId="9" fillId="0" borderId="276" xfId="0" applyFont="1" applyBorder="1" applyAlignment="1">
      <alignment horizontal="center"/>
    </xf>
    <xf numFmtId="0" fontId="21" fillId="42" borderId="153" xfId="0" applyFont="1" applyFill="1" applyBorder="1" applyAlignment="1">
      <alignment horizontal="center" vertical="center" wrapText="1"/>
    </xf>
    <xf numFmtId="0" fontId="21" fillId="42" borderId="266" xfId="0" applyFont="1" applyFill="1" applyBorder="1" applyAlignment="1">
      <alignment horizontal="center" vertical="center" wrapText="1"/>
    </xf>
    <xf numFmtId="0" fontId="22" fillId="42" borderId="266" xfId="0" applyFont="1" applyFill="1" applyBorder="1" applyAlignment="1">
      <alignment horizontal="center" vertical="center" wrapText="1"/>
    </xf>
    <xf numFmtId="0" fontId="22" fillId="42" borderId="154" xfId="0" applyFont="1" applyFill="1" applyBorder="1" applyAlignment="1">
      <alignment horizontal="center" vertical="center" wrapText="1"/>
    </xf>
    <xf numFmtId="0" fontId="22" fillId="42" borderId="267" xfId="0" applyFont="1" applyFill="1" applyBorder="1" applyAlignment="1">
      <alignment horizontal="center" vertical="center" wrapText="1"/>
    </xf>
    <xf numFmtId="0" fontId="22" fillId="42" borderId="155" xfId="0" applyFont="1" applyFill="1" applyBorder="1" applyAlignment="1">
      <alignment horizontal="center" vertical="center" wrapText="1"/>
    </xf>
    <xf numFmtId="174" fontId="23" fillId="42" borderId="0" xfId="0" applyNumberFormat="1" applyFont="1" applyFill="1" applyAlignment="1">
      <alignment horizontal="center" vertical="center" wrapText="1"/>
    </xf>
    <xf numFmtId="174" fontId="23" fillId="42" borderId="49" xfId="0" applyNumberFormat="1" applyFont="1" applyFill="1" applyBorder="1" applyAlignment="1">
      <alignment horizontal="center" vertical="center" wrapText="1"/>
    </xf>
    <xf numFmtId="174" fontId="23" fillId="42" borderId="67" xfId="0" applyNumberFormat="1" applyFont="1" applyFill="1" applyBorder="1" applyAlignment="1">
      <alignment horizontal="center" vertical="center" wrapText="1"/>
    </xf>
    <xf numFmtId="174" fontId="23" fillId="42" borderId="68" xfId="0" applyNumberFormat="1" applyFont="1" applyFill="1" applyBorder="1" applyAlignment="1">
      <alignment horizontal="center" vertical="center" wrapText="1"/>
    </xf>
    <xf numFmtId="174" fontId="23" fillId="42" borderId="51" xfId="0" applyNumberFormat="1" applyFont="1" applyFill="1" applyBorder="1" applyAlignment="1">
      <alignment horizontal="center" vertical="center" wrapText="1"/>
    </xf>
    <xf numFmtId="174" fontId="23" fillId="42" borderId="157" xfId="0" applyNumberFormat="1" applyFont="1" applyFill="1" applyBorder="1" applyAlignment="1">
      <alignment horizontal="center" vertical="center" wrapText="1"/>
    </xf>
    <xf numFmtId="174" fontId="23" fillId="42" borderId="55" xfId="0" applyNumberFormat="1" applyFont="1" applyFill="1" applyBorder="1" applyAlignment="1">
      <alignment horizontal="center" vertical="center" wrapText="1"/>
    </xf>
    <xf numFmtId="174" fontId="23" fillId="42" borderId="157" xfId="0" applyNumberFormat="1" applyFont="1" applyFill="1" applyBorder="1" applyAlignment="1">
      <alignment horizontal="center" vertical="center"/>
    </xf>
    <xf numFmtId="174" fontId="23" fillId="42" borderId="0" xfId="0" applyNumberFormat="1" applyFont="1" applyFill="1" applyAlignment="1">
      <alignment horizontal="center" vertical="center"/>
    </xf>
    <xf numFmtId="174" fontId="23" fillId="42" borderId="66" xfId="0" applyNumberFormat="1" applyFont="1" applyFill="1" applyBorder="1" applyAlignment="1">
      <alignment horizontal="center" vertical="center" wrapText="1"/>
    </xf>
    <xf numFmtId="174" fontId="23" fillId="42" borderId="70" xfId="0" applyNumberFormat="1" applyFont="1" applyFill="1" applyBorder="1" applyAlignment="1">
      <alignment horizontal="center" vertical="center" wrapText="1"/>
    </xf>
    <xf numFmtId="0" fontId="94" fillId="0" borderId="0" xfId="0" applyFont="1" applyAlignment="1">
      <alignment/>
    </xf>
    <xf numFmtId="174" fontId="0" fillId="0" borderId="0" xfId="0" applyNumberFormat="1" applyAlignment="1">
      <alignment/>
    </xf>
    <xf numFmtId="0" fontId="92" fillId="0" borderId="277" xfId="0" applyFont="1" applyBorder="1" applyAlignment="1">
      <alignment horizontal="center"/>
    </xf>
    <xf numFmtId="0" fontId="92" fillId="0" borderId="157" xfId="0" applyFont="1" applyBorder="1" applyAlignment="1">
      <alignment horizontal="center" vertical="center"/>
    </xf>
    <xf numFmtId="0" fontId="92" fillId="0" borderId="278" xfId="0" applyFont="1" applyBorder="1" applyAlignment="1">
      <alignment horizontal="center"/>
    </xf>
    <xf numFmtId="0" fontId="92" fillId="0" borderId="279" xfId="0" applyFont="1" applyBorder="1" applyAlignment="1">
      <alignment horizontal="center"/>
    </xf>
    <xf numFmtId="0" fontId="92" fillId="0" borderId="280" xfId="0" applyFont="1" applyBorder="1" applyAlignment="1">
      <alignment horizontal="center"/>
    </xf>
    <xf numFmtId="0" fontId="92" fillId="0" borderId="281" xfId="0" applyFont="1" applyBorder="1" applyAlignment="1">
      <alignment horizontal="center"/>
    </xf>
    <xf numFmtId="0" fontId="92" fillId="0" borderId="282" xfId="0" applyFont="1" applyBorder="1" applyAlignment="1">
      <alignment horizontal="center"/>
    </xf>
    <xf numFmtId="0" fontId="92" fillId="0" borderId="146" xfId="0" applyFont="1" applyBorder="1" applyAlignment="1">
      <alignment horizontal="center"/>
    </xf>
    <xf numFmtId="0" fontId="92" fillId="0" borderId="147" xfId="0" applyFont="1" applyBorder="1" applyAlignment="1">
      <alignment horizontal="center"/>
    </xf>
    <xf numFmtId="0" fontId="92" fillId="0" borderId="248" xfId="0" applyFont="1" applyBorder="1" applyAlignment="1" quotePrefix="1">
      <alignment horizontal="center"/>
    </xf>
    <xf numFmtId="0" fontId="95" fillId="0" borderId="245" xfId="0" applyFont="1" applyBorder="1" applyAlignment="1">
      <alignment horizontal="center"/>
    </xf>
    <xf numFmtId="0" fontId="92" fillId="45" borderId="250" xfId="0" applyFont="1" applyFill="1" applyBorder="1" applyAlignment="1">
      <alignment horizontal="center"/>
    </xf>
    <xf numFmtId="0" fontId="0" fillId="0" borderId="275" xfId="0" applyBorder="1" applyAlignment="1">
      <alignment horizontal="center"/>
    </xf>
    <xf numFmtId="0" fontId="23" fillId="0" borderId="224" xfId="0" applyFont="1" applyBorder="1" applyAlignment="1">
      <alignment horizontal="center" vertical="center"/>
    </xf>
    <xf numFmtId="176" fontId="30" fillId="0" borderId="0" xfId="0" applyNumberFormat="1" applyFont="1" applyAlignment="1">
      <alignment horizontal="center"/>
    </xf>
    <xf numFmtId="1" fontId="15" fillId="0" borderId="0" xfId="0" applyNumberFormat="1" applyFont="1" applyAlignment="1">
      <alignment/>
    </xf>
    <xf numFmtId="0" fontId="96" fillId="0" borderId="0" xfId="0" applyFont="1" applyAlignment="1">
      <alignment horizontal="center"/>
    </xf>
    <xf numFmtId="0" fontId="92" fillId="0" borderId="241" xfId="0" applyFont="1" applyFill="1" applyBorder="1" applyAlignment="1">
      <alignment horizontal="center"/>
    </xf>
    <xf numFmtId="0" fontId="92" fillId="0" borderId="240" xfId="0" applyFont="1" applyFill="1" applyBorder="1" applyAlignment="1">
      <alignment horizontal="center"/>
    </xf>
    <xf numFmtId="0" fontId="92" fillId="0" borderId="245" xfId="0" applyFont="1" applyFill="1" applyBorder="1" applyAlignment="1">
      <alignment horizontal="center"/>
    </xf>
    <xf numFmtId="0" fontId="92" fillId="0" borderId="242" xfId="0" applyFont="1" applyFill="1" applyBorder="1" applyAlignment="1">
      <alignment horizontal="center"/>
    </xf>
    <xf numFmtId="0" fontId="23" fillId="0" borderId="271" xfId="0" applyFont="1" applyFill="1" applyBorder="1" applyAlignment="1">
      <alignment horizontal="center" vertical="center"/>
    </xf>
    <xf numFmtId="0" fontId="92" fillId="0" borderId="226" xfId="0" applyFont="1" applyFill="1" applyBorder="1" applyAlignment="1">
      <alignment horizontal="center"/>
    </xf>
    <xf numFmtId="0" fontId="92" fillId="0" borderId="227" xfId="0" applyFont="1" applyFill="1" applyBorder="1" applyAlignment="1">
      <alignment horizontal="center"/>
    </xf>
    <xf numFmtId="0" fontId="92" fillId="0" borderId="231" xfId="0" applyFont="1" applyFill="1" applyBorder="1" applyAlignment="1">
      <alignment horizontal="center"/>
    </xf>
    <xf numFmtId="0" fontId="92" fillId="0" borderId="228" xfId="0" applyFont="1" applyFill="1" applyBorder="1" applyAlignment="1">
      <alignment horizontal="center"/>
    </xf>
    <xf numFmtId="0" fontId="92" fillId="0" borderId="253" xfId="0" applyFont="1" applyFill="1" applyBorder="1" applyAlignment="1">
      <alignment horizontal="center"/>
    </xf>
    <xf numFmtId="0" fontId="92" fillId="0" borderId="225" xfId="0" applyFont="1" applyFill="1" applyBorder="1" applyAlignment="1">
      <alignment horizontal="center"/>
    </xf>
    <xf numFmtId="0" fontId="92" fillId="0" borderId="229" xfId="0" applyFont="1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92" fillId="0" borderId="233" xfId="0" applyFont="1" applyFill="1" applyBorder="1" applyAlignment="1">
      <alignment horizontal="center"/>
    </xf>
    <xf numFmtId="0" fontId="92" fillId="0" borderId="247" xfId="0" applyFont="1" applyFill="1" applyBorder="1" applyAlignment="1">
      <alignment horizontal="center"/>
    </xf>
    <xf numFmtId="0" fontId="92" fillId="0" borderId="248" xfId="0" applyFont="1" applyFill="1" applyBorder="1" applyAlignment="1">
      <alignment horizontal="center"/>
    </xf>
    <xf numFmtId="0" fontId="92" fillId="0" borderId="238" xfId="0" applyFont="1" applyFill="1" applyBorder="1" applyAlignment="1">
      <alignment horizontal="center"/>
    </xf>
    <xf numFmtId="0" fontId="92" fillId="0" borderId="235" xfId="0" applyFont="1" applyFill="1" applyBorder="1" applyAlignment="1">
      <alignment horizontal="center"/>
    </xf>
    <xf numFmtId="0" fontId="92" fillId="0" borderId="255" xfId="0" applyFont="1" applyFill="1" applyBorder="1" applyAlignment="1">
      <alignment horizontal="center"/>
    </xf>
    <xf numFmtId="0" fontId="92" fillId="0" borderId="232" xfId="0" applyFont="1" applyFill="1" applyBorder="1" applyAlignment="1">
      <alignment horizontal="center"/>
    </xf>
    <xf numFmtId="0" fontId="92" fillId="0" borderId="236" xfId="0" applyFont="1" applyFill="1" applyBorder="1" applyAlignment="1">
      <alignment horizontal="center"/>
    </xf>
    <xf numFmtId="0" fontId="92" fillId="0" borderId="252" xfId="0" applyFont="1" applyFill="1" applyBorder="1" applyAlignment="1">
      <alignment horizontal="center"/>
    </xf>
    <xf numFmtId="0" fontId="92" fillId="0" borderId="249" xfId="0" applyFont="1" applyFill="1" applyBorder="1" applyAlignment="1">
      <alignment horizontal="center"/>
    </xf>
    <xf numFmtId="0" fontId="92" fillId="0" borderId="268" xfId="0" applyFont="1" applyFill="1" applyBorder="1" applyAlignment="1">
      <alignment horizontal="center"/>
    </xf>
    <xf numFmtId="0" fontId="92" fillId="0" borderId="246" xfId="0" applyFont="1" applyFill="1" applyBorder="1" applyAlignment="1">
      <alignment horizontal="center"/>
    </xf>
    <xf numFmtId="0" fontId="92" fillId="0" borderId="25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14" fillId="16" borderId="0" xfId="0" applyFont="1" applyFill="1" applyAlignment="1">
      <alignment horizontal="left"/>
    </xf>
    <xf numFmtId="0" fontId="14" fillId="16" borderId="0" xfId="0" applyFont="1" applyFill="1" applyAlignment="1">
      <alignment/>
    </xf>
    <xf numFmtId="0" fontId="19" fillId="0" borderId="181" xfId="0" applyFont="1" applyBorder="1" applyAlignment="1">
      <alignment horizontal="center" vertical="center" wrapText="1"/>
    </xf>
    <xf numFmtId="176" fontId="21" fillId="41" borderId="97" xfId="0" applyNumberFormat="1" applyFont="1" applyFill="1" applyBorder="1" applyAlignment="1">
      <alignment horizontal="center" vertical="center"/>
    </xf>
    <xf numFmtId="176" fontId="21" fillId="41" borderId="204" xfId="0" applyNumberFormat="1" applyFont="1" applyFill="1" applyBorder="1" applyAlignment="1">
      <alignment horizontal="center" vertical="center"/>
    </xf>
    <xf numFmtId="0" fontId="19" fillId="43" borderId="12" xfId="0" applyFont="1" applyFill="1" applyBorder="1" applyAlignment="1">
      <alignment horizontal="center" vertical="center" wrapText="1"/>
    </xf>
    <xf numFmtId="0" fontId="19" fillId="0" borderId="149" xfId="0" applyFont="1" applyBorder="1" applyAlignment="1">
      <alignment horizontal="center" vertical="center" wrapText="1"/>
    </xf>
    <xf numFmtId="0" fontId="0" fillId="33" borderId="110" xfId="0" applyFill="1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112" xfId="0" applyBorder="1" applyAlignment="1">
      <alignment/>
    </xf>
    <xf numFmtId="174" fontId="0" fillId="0" borderId="103" xfId="0" applyNumberFormat="1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283" xfId="0" applyBorder="1" applyAlignment="1">
      <alignment horizontal="center"/>
    </xf>
    <xf numFmtId="174" fontId="0" fillId="0" borderId="284" xfId="0" applyNumberFormat="1" applyBorder="1" applyAlignment="1">
      <alignment horizontal="center"/>
    </xf>
    <xf numFmtId="174" fontId="0" fillId="0" borderId="283" xfId="0" applyNumberFormat="1" applyBorder="1" applyAlignment="1">
      <alignment horizontal="center"/>
    </xf>
    <xf numFmtId="174" fontId="0" fillId="0" borderId="284" xfId="0" applyNumberFormat="1" applyFill="1" applyBorder="1" applyAlignment="1">
      <alignment horizontal="center"/>
    </xf>
    <xf numFmtId="0" fontId="0" fillId="33" borderId="110" xfId="0" applyFill="1" applyBorder="1" applyAlignment="1">
      <alignment/>
    </xf>
    <xf numFmtId="0" fontId="0" fillId="33" borderId="10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3" xfId="0" applyNumberFormat="1" applyFill="1" applyBorder="1" applyAlignment="1">
      <alignment/>
    </xf>
    <xf numFmtId="0" fontId="0" fillId="0" borderId="10" xfId="0" applyBorder="1" applyAlignment="1">
      <alignment/>
    </xf>
    <xf numFmtId="0" fontId="10" fillId="0" borderId="129" xfId="0" applyFont="1" applyBorder="1" applyAlignment="1">
      <alignment horizontal="center" vertical="center"/>
    </xf>
    <xf numFmtId="0" fontId="10" fillId="0" borderId="285" xfId="0" applyFont="1" applyBorder="1" applyAlignment="1">
      <alignment horizontal="center" vertical="center"/>
    </xf>
    <xf numFmtId="0" fontId="0" fillId="0" borderId="109" xfId="0" applyFill="1" applyBorder="1" applyAlignment="1">
      <alignment/>
    </xf>
    <xf numFmtId="0" fontId="0" fillId="0" borderId="45" xfId="0" applyBorder="1" applyAlignment="1">
      <alignment/>
    </xf>
    <xf numFmtId="0" fontId="0" fillId="0" borderId="103" xfId="0" applyBorder="1" applyAlignment="1">
      <alignment/>
    </xf>
    <xf numFmtId="9" fontId="0" fillId="0" borderId="109" xfId="0" applyNumberFormat="1" applyFill="1" applyBorder="1" applyAlignment="1">
      <alignment/>
    </xf>
    <xf numFmtId="0" fontId="0" fillId="0" borderId="286" xfId="0" applyBorder="1" applyAlignment="1">
      <alignment/>
    </xf>
    <xf numFmtId="0" fontId="0" fillId="0" borderId="272" xfId="0" applyBorder="1" applyAlignment="1">
      <alignment/>
    </xf>
    <xf numFmtId="0" fontId="0" fillId="0" borderId="287" xfId="0" applyFill="1" applyBorder="1" applyAlignment="1">
      <alignment/>
    </xf>
    <xf numFmtId="0" fontId="0" fillId="0" borderId="288" xfId="0" applyBorder="1" applyAlignment="1">
      <alignment/>
    </xf>
    <xf numFmtId="0" fontId="0" fillId="0" borderId="103" xfId="0" applyFill="1" applyBorder="1" applyAlignment="1">
      <alignment/>
    </xf>
    <xf numFmtId="0" fontId="0" fillId="0" borderId="0" xfId="0" applyBorder="1" applyAlignment="1">
      <alignment/>
    </xf>
    <xf numFmtId="0" fontId="0" fillId="0" borderId="110" xfId="0" applyBorder="1" applyAlignment="1">
      <alignment/>
    </xf>
    <xf numFmtId="0" fontId="0" fillId="0" borderId="42" xfId="0" applyFill="1" applyBorder="1" applyAlignment="1">
      <alignment/>
    </xf>
    <xf numFmtId="9" fontId="0" fillId="33" borderId="110" xfId="0" applyNumberFormat="1" applyFill="1" applyBorder="1" applyAlignment="1">
      <alignment horizontal="center"/>
    </xf>
    <xf numFmtId="0" fontId="0" fillId="33" borderId="112" xfId="0" applyFill="1" applyBorder="1" applyAlignment="1">
      <alignment/>
    </xf>
    <xf numFmtId="0" fontId="0" fillId="33" borderId="289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48" xfId="0" applyFont="1" applyBorder="1" applyAlignment="1">
      <alignment/>
    </xf>
    <xf numFmtId="0" fontId="0" fillId="0" borderId="49" xfId="0" applyBorder="1" applyAlignment="1">
      <alignment/>
    </xf>
    <xf numFmtId="0" fontId="8" fillId="35" borderId="290" xfId="0" applyFont="1" applyFill="1" applyBorder="1" applyAlignment="1">
      <alignment horizontal="center" vertical="center"/>
    </xf>
    <xf numFmtId="0" fontId="8" fillId="35" borderId="98" xfId="0" applyFont="1" applyFill="1" applyBorder="1" applyAlignment="1">
      <alignment horizontal="center" vertical="center"/>
    </xf>
    <xf numFmtId="9" fontId="0" fillId="0" borderId="287" xfId="0" applyNumberFormat="1" applyFill="1" applyBorder="1" applyAlignment="1">
      <alignment/>
    </xf>
    <xf numFmtId="0" fontId="0" fillId="0" borderId="42" xfId="0" applyBorder="1" applyAlignment="1">
      <alignment/>
    </xf>
    <xf numFmtId="0" fontId="0" fillId="0" borderId="182" xfId="0" applyBorder="1" applyAlignment="1">
      <alignment horizont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0" fillId="0" borderId="202" xfId="0" applyBorder="1" applyAlignment="1">
      <alignment horizontal="center" wrapText="1"/>
    </xf>
    <xf numFmtId="0" fontId="0" fillId="0" borderId="202" xfId="0" applyBorder="1" applyAlignment="1">
      <alignment horizontal="center"/>
    </xf>
    <xf numFmtId="176" fontId="11" fillId="0" borderId="291" xfId="0" applyNumberFormat="1" applyFont="1" applyBorder="1" applyAlignment="1">
      <alignment horizontal="center" vertical="center"/>
    </xf>
    <xf numFmtId="176" fontId="11" fillId="0" borderId="97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16" xfId="0" applyBorder="1" applyAlignment="1">
      <alignment horizontal="center" vertical="center"/>
    </xf>
    <xf numFmtId="0" fontId="0" fillId="0" borderId="272" xfId="0" applyBorder="1" applyAlignment="1">
      <alignment horizontal="center" vertical="center"/>
    </xf>
    <xf numFmtId="9" fontId="0" fillId="0" borderId="292" xfId="0" applyNumberFormat="1" applyFill="1" applyBorder="1" applyAlignment="1">
      <alignment/>
    </xf>
    <xf numFmtId="0" fontId="0" fillId="0" borderId="12" xfId="0" applyBorder="1" applyAlignment="1">
      <alignment/>
    </xf>
    <xf numFmtId="176" fontId="11" fillId="0" borderId="106" xfId="0" applyNumberFormat="1" applyFont="1" applyBorder="1" applyAlignment="1">
      <alignment horizontal="center" vertical="center"/>
    </xf>
    <xf numFmtId="0" fontId="9" fillId="0" borderId="293" xfId="0" applyFont="1" applyBorder="1" applyAlignment="1">
      <alignment/>
    </xf>
    <xf numFmtId="0" fontId="0" fillId="0" borderId="294" xfId="0" applyBorder="1" applyAlignment="1">
      <alignment/>
    </xf>
    <xf numFmtId="0" fontId="0" fillId="33" borderId="108" xfId="0" applyFill="1" applyBorder="1" applyAlignment="1">
      <alignment horizontal="center" vertical="center" wrapText="1"/>
    </xf>
    <xf numFmtId="0" fontId="0" fillId="0" borderId="295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286" xfId="0" applyBorder="1" applyAlignment="1">
      <alignment horizontal="center" vertical="center" wrapText="1"/>
    </xf>
    <xf numFmtId="0" fontId="0" fillId="0" borderId="296" xfId="0" applyBorder="1" applyAlignment="1">
      <alignment horizontal="center" vertical="center" wrapText="1"/>
    </xf>
    <xf numFmtId="0" fontId="2" fillId="0" borderId="297" xfId="0" applyFont="1" applyFill="1" applyBorder="1" applyAlignment="1">
      <alignment horizontal="center" vertical="center" wrapText="1"/>
    </xf>
    <xf numFmtId="0" fontId="2" fillId="0" borderId="298" xfId="0" applyFont="1" applyFill="1" applyBorder="1" applyAlignment="1">
      <alignment horizontal="center" vertical="center" wrapText="1"/>
    </xf>
    <xf numFmtId="0" fontId="2" fillId="0" borderId="299" xfId="0" applyFont="1" applyFill="1" applyBorder="1" applyAlignment="1">
      <alignment horizontal="center" vertical="center" wrapText="1"/>
    </xf>
    <xf numFmtId="10" fontId="2" fillId="0" borderId="297" xfId="0" applyNumberFormat="1" applyFont="1" applyFill="1" applyBorder="1" applyAlignment="1">
      <alignment horizontal="center" vertical="center" wrapText="1"/>
    </xf>
    <xf numFmtId="10" fontId="2" fillId="0" borderId="298" xfId="0" applyNumberFormat="1" applyFont="1" applyFill="1" applyBorder="1" applyAlignment="1">
      <alignment horizontal="center" vertical="center" wrapText="1"/>
    </xf>
    <xf numFmtId="10" fontId="2" fillId="0" borderId="299" xfId="0" applyNumberFormat="1" applyFont="1" applyFill="1" applyBorder="1" applyAlignment="1">
      <alignment horizontal="center" vertical="center" wrapText="1"/>
    </xf>
    <xf numFmtId="0" fontId="0" fillId="33" borderId="300" xfId="0" applyFill="1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0" borderId="301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302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10" fontId="2" fillId="0" borderId="120" xfId="0" applyNumberFormat="1" applyFont="1" applyFill="1" applyBorder="1" applyAlignment="1">
      <alignment horizontal="center" vertical="center" wrapText="1"/>
    </xf>
    <xf numFmtId="10" fontId="2" fillId="0" borderId="122" xfId="0" applyNumberFormat="1" applyFont="1" applyFill="1" applyBorder="1" applyAlignment="1">
      <alignment horizontal="center" vertical="center" wrapText="1"/>
    </xf>
    <xf numFmtId="10" fontId="2" fillId="0" borderId="121" xfId="0" applyNumberFormat="1" applyFont="1" applyFill="1" applyBorder="1" applyAlignment="1">
      <alignment horizontal="center" vertical="center" wrapText="1"/>
    </xf>
    <xf numFmtId="0" fontId="0" fillId="33" borderId="103" xfId="0" applyFill="1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0" fillId="0" borderId="303" xfId="0" applyBorder="1" applyAlignment="1">
      <alignment horizontal="center" vertical="center" wrapText="1"/>
    </xf>
    <xf numFmtId="0" fontId="2" fillId="0" borderId="304" xfId="0" applyFont="1" applyFill="1" applyBorder="1" applyAlignment="1">
      <alignment horizontal="center" vertical="center" wrapText="1"/>
    </xf>
    <xf numFmtId="10" fontId="2" fillId="0" borderId="304" xfId="0" applyNumberFormat="1" applyFont="1" applyFill="1" applyBorder="1" applyAlignment="1">
      <alignment horizontal="center" vertical="center" wrapText="1"/>
    </xf>
    <xf numFmtId="0" fontId="0" fillId="33" borderId="109" xfId="0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" fillId="0" borderId="305" xfId="0" applyFont="1" applyFill="1" applyBorder="1" applyAlignment="1">
      <alignment horizontal="center" vertical="center" wrapText="1"/>
    </xf>
    <xf numFmtId="10" fontId="2" fillId="0" borderId="305" xfId="0" applyNumberFormat="1" applyFont="1" applyFill="1" applyBorder="1" applyAlignment="1">
      <alignment horizontal="center" vertical="center" wrapText="1"/>
    </xf>
    <xf numFmtId="0" fontId="0" fillId="33" borderId="300" xfId="0" applyFill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30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10" fontId="2" fillId="0" borderId="120" xfId="0" applyNumberFormat="1" applyFont="1" applyFill="1" applyBorder="1" applyAlignment="1">
      <alignment horizontal="center" vertical="center"/>
    </xf>
    <xf numFmtId="10" fontId="2" fillId="0" borderId="1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33" borderId="108" xfId="0" applyFill="1" applyBorder="1" applyAlignment="1">
      <alignment horizontal="center" vertical="center"/>
    </xf>
    <xf numFmtId="0" fontId="0" fillId="0" borderId="295" xfId="0" applyBorder="1" applyAlignment="1">
      <alignment horizontal="center" vertical="center"/>
    </xf>
    <xf numFmtId="0" fontId="0" fillId="0" borderId="286" xfId="0" applyBorder="1" applyAlignment="1">
      <alignment horizontal="center" vertical="center"/>
    </xf>
    <xf numFmtId="0" fontId="0" fillId="0" borderId="296" xfId="0" applyBorder="1" applyAlignment="1">
      <alignment horizontal="center" vertical="center"/>
    </xf>
    <xf numFmtId="0" fontId="0" fillId="0" borderId="299" xfId="0" applyFill="1" applyBorder="1" applyAlignment="1">
      <alignment horizontal="center" vertical="center" wrapText="1"/>
    </xf>
    <xf numFmtId="10" fontId="0" fillId="0" borderId="299" xfId="0" applyNumberFormat="1" applyFill="1" applyBorder="1" applyAlignment="1">
      <alignment horizontal="center" vertical="center" wrapText="1"/>
    </xf>
    <xf numFmtId="0" fontId="0" fillId="33" borderId="94" xfId="0" applyFill="1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14" fillId="38" borderId="94" xfId="0" applyFont="1" applyFill="1" applyBorder="1" applyAlignment="1">
      <alignment horizontal="center" vertical="center" wrapText="1"/>
    </xf>
    <xf numFmtId="0" fontId="0" fillId="38" borderId="96" xfId="0" applyFill="1" applyBorder="1" applyAlignment="1">
      <alignment horizontal="center" vertical="center" wrapText="1"/>
    </xf>
    <xf numFmtId="0" fontId="2" fillId="0" borderId="297" xfId="0" applyFont="1" applyFill="1" applyBorder="1" applyAlignment="1">
      <alignment horizontal="right"/>
    </xf>
    <xf numFmtId="0" fontId="2" fillId="0" borderId="299" xfId="0" applyFont="1" applyFill="1" applyBorder="1" applyAlignment="1">
      <alignment/>
    </xf>
    <xf numFmtId="0" fontId="0" fillId="0" borderId="85" xfId="0" applyBorder="1" applyAlignment="1">
      <alignment horizontal="center"/>
    </xf>
    <xf numFmtId="0" fontId="2" fillId="0" borderId="108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2" fillId="0" borderId="297" xfId="0" applyFont="1" applyBorder="1" applyAlignment="1">
      <alignment horizontal="center" vertical="center" wrapText="1"/>
    </xf>
    <xf numFmtId="0" fontId="2" fillId="0" borderId="299" xfId="0" applyFont="1" applyBorder="1" applyAlignment="1">
      <alignment horizontal="center" vertical="center" wrapText="1"/>
    </xf>
    <xf numFmtId="0" fontId="3" fillId="0" borderId="306" xfId="0" applyFont="1" applyFill="1" applyBorder="1" applyAlignment="1">
      <alignment horizontal="center" vertical="center"/>
    </xf>
    <xf numFmtId="0" fontId="3" fillId="0" borderId="307" xfId="0" applyFont="1" applyFill="1" applyBorder="1" applyAlignment="1">
      <alignment horizontal="center" vertical="center"/>
    </xf>
    <xf numFmtId="0" fontId="3" fillId="0" borderId="308" xfId="0" applyFont="1" applyFill="1" applyBorder="1" applyAlignment="1">
      <alignment horizontal="center" vertical="center"/>
    </xf>
    <xf numFmtId="0" fontId="3" fillId="0" borderId="297" xfId="0" applyFont="1" applyFill="1" applyBorder="1" applyAlignment="1">
      <alignment horizontal="center" vertical="center" wrapText="1"/>
    </xf>
    <xf numFmtId="0" fontId="0" fillId="0" borderId="298" xfId="0" applyBorder="1" applyAlignment="1">
      <alignment horizontal="center" wrapText="1"/>
    </xf>
    <xf numFmtId="0" fontId="3" fillId="0" borderId="309" xfId="0" applyFont="1" applyFill="1" applyBorder="1" applyAlignment="1">
      <alignment horizontal="center" vertical="center"/>
    </xf>
    <xf numFmtId="0" fontId="0" fillId="0" borderId="298" xfId="0" applyBorder="1" applyAlignment="1">
      <alignment horizontal="center"/>
    </xf>
    <xf numFmtId="0" fontId="15" fillId="33" borderId="138" xfId="0" applyFont="1" applyFill="1" applyBorder="1" applyAlignment="1">
      <alignment horizontal="left" vertical="center" wrapText="1"/>
    </xf>
    <xf numFmtId="0" fontId="15" fillId="33" borderId="310" xfId="0" applyFont="1" applyFill="1" applyBorder="1" applyAlignment="1">
      <alignment horizontal="left" vertical="center" wrapText="1"/>
    </xf>
    <xf numFmtId="0" fontId="15" fillId="33" borderId="103" xfId="0" applyFont="1" applyFill="1" applyBorder="1" applyAlignment="1">
      <alignment horizontal="left" vertical="center" wrapText="1"/>
    </xf>
    <xf numFmtId="177" fontId="20" fillId="0" borderId="311" xfId="0" applyNumberFormat="1" applyFont="1" applyFill="1" applyBorder="1" applyAlignment="1">
      <alignment horizontal="center" vertical="center" wrapText="1"/>
    </xf>
    <xf numFmtId="177" fontId="20" fillId="0" borderId="156" xfId="0" applyNumberFormat="1" applyFont="1" applyFill="1" applyBorder="1" applyAlignment="1">
      <alignment horizontal="center" vertical="center" wrapText="1"/>
    </xf>
    <xf numFmtId="177" fontId="20" fillId="0" borderId="312" xfId="0" applyNumberFormat="1" applyFont="1" applyFill="1" applyBorder="1" applyAlignment="1">
      <alignment horizontal="center" vertical="center" wrapText="1"/>
    </xf>
    <xf numFmtId="0" fontId="24" fillId="0" borderId="216" xfId="0" applyFont="1" applyBorder="1" applyAlignment="1">
      <alignment horizontal="center" vertical="center"/>
    </xf>
    <xf numFmtId="0" fontId="24" fillId="0" borderId="221" xfId="0" applyFont="1" applyBorder="1" applyAlignment="1">
      <alignment horizontal="center" vertical="center"/>
    </xf>
    <xf numFmtId="176" fontId="26" fillId="0" borderId="97" xfId="0" applyNumberFormat="1" applyFont="1" applyBorder="1" applyAlignment="1">
      <alignment horizontal="center" vertical="center"/>
    </xf>
    <xf numFmtId="176" fontId="26" fillId="0" borderId="204" xfId="0" applyNumberFormat="1" applyFont="1" applyBorder="1" applyAlignment="1">
      <alignment horizontal="center" vertical="center"/>
    </xf>
    <xf numFmtId="0" fontId="30" fillId="0" borderId="291" xfId="0" applyFont="1" applyBorder="1" applyAlignment="1">
      <alignment/>
    </xf>
    <xf numFmtId="0" fontId="15" fillId="0" borderId="97" xfId="0" applyFont="1" applyBorder="1" applyAlignment="1">
      <alignment/>
    </xf>
    <xf numFmtId="0" fontId="15" fillId="0" borderId="13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9" fillId="0" borderId="313" xfId="0" applyFont="1" applyFill="1" applyBorder="1" applyAlignment="1">
      <alignment horizontal="center" vertical="center" wrapText="1"/>
    </xf>
    <xf numFmtId="0" fontId="19" fillId="0" borderId="314" xfId="0" applyFont="1" applyFill="1" applyBorder="1" applyAlignment="1">
      <alignment horizontal="center" vertical="center" wrapText="1"/>
    </xf>
    <xf numFmtId="0" fontId="19" fillId="0" borderId="315" xfId="0" applyFont="1" applyFill="1" applyBorder="1" applyAlignment="1">
      <alignment horizontal="center" vertical="center" wrapText="1"/>
    </xf>
    <xf numFmtId="10" fontId="20" fillId="0" borderId="316" xfId="0" applyNumberFormat="1" applyFont="1" applyFill="1" applyBorder="1" applyAlignment="1">
      <alignment horizontal="center" vertical="center" wrapText="1"/>
    </xf>
    <xf numFmtId="10" fontId="20" fillId="0" borderId="317" xfId="0" applyNumberFormat="1" applyFont="1" applyFill="1" applyBorder="1" applyAlignment="1">
      <alignment horizontal="center" vertical="center" wrapText="1"/>
    </xf>
    <xf numFmtId="10" fontId="20" fillId="0" borderId="318" xfId="0" applyNumberFormat="1" applyFont="1" applyFill="1" applyBorder="1" applyAlignment="1">
      <alignment horizontal="center" vertical="center" wrapText="1"/>
    </xf>
    <xf numFmtId="0" fontId="19" fillId="0" borderId="319" xfId="0" applyFont="1" applyFill="1" applyBorder="1" applyAlignment="1">
      <alignment horizontal="center" vertical="center" wrapText="1"/>
    </xf>
    <xf numFmtId="0" fontId="19" fillId="0" borderId="320" xfId="0" applyFont="1" applyFill="1" applyBorder="1" applyAlignment="1">
      <alignment horizontal="center" vertical="center" wrapText="1"/>
    </xf>
    <xf numFmtId="0" fontId="19" fillId="0" borderId="321" xfId="0" applyFont="1" applyFill="1" applyBorder="1" applyAlignment="1">
      <alignment horizontal="center" vertical="center" wrapText="1"/>
    </xf>
    <xf numFmtId="10" fontId="20" fillId="0" borderId="311" xfId="0" applyNumberFormat="1" applyFont="1" applyFill="1" applyBorder="1" applyAlignment="1">
      <alignment horizontal="center" vertical="center" wrapText="1"/>
    </xf>
    <xf numFmtId="10" fontId="20" fillId="0" borderId="156" xfId="0" applyNumberFormat="1" applyFont="1" applyFill="1" applyBorder="1" applyAlignment="1">
      <alignment horizontal="center" vertical="center" wrapText="1"/>
    </xf>
    <xf numFmtId="10" fontId="20" fillId="0" borderId="312" xfId="0" applyNumberFormat="1" applyFont="1" applyFill="1" applyBorder="1" applyAlignment="1">
      <alignment horizontal="center" vertical="center" wrapText="1"/>
    </xf>
    <xf numFmtId="174" fontId="19" fillId="0" borderId="41" xfId="0" applyNumberFormat="1" applyFont="1" applyFill="1" applyBorder="1" applyAlignment="1">
      <alignment horizontal="center" vertical="center" wrapText="1"/>
    </xf>
    <xf numFmtId="174" fontId="19" fillId="0" borderId="55" xfId="0" applyNumberFormat="1" applyFont="1" applyFill="1" applyBorder="1" applyAlignment="1">
      <alignment horizontal="center" vertical="center" wrapText="1"/>
    </xf>
    <xf numFmtId="174" fontId="19" fillId="0" borderId="181" xfId="0" applyNumberFormat="1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181" xfId="0" applyFont="1" applyFill="1" applyBorder="1" applyAlignment="1">
      <alignment horizontal="left" vertical="center" wrapText="1"/>
    </xf>
    <xf numFmtId="0" fontId="15" fillId="0" borderId="182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181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9" fillId="0" borderId="149" xfId="0" applyFont="1" applyFill="1" applyBorder="1" applyAlignment="1">
      <alignment horizontal="center" vertical="center" wrapText="1"/>
    </xf>
    <xf numFmtId="10" fontId="20" fillId="0" borderId="152" xfId="0" applyNumberFormat="1" applyFont="1" applyFill="1" applyBorder="1" applyAlignment="1">
      <alignment horizontal="center" vertical="center" wrapText="1"/>
    </xf>
    <xf numFmtId="0" fontId="15" fillId="0" borderId="149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174" fontId="19" fillId="0" borderId="41" xfId="0" applyNumberFormat="1" applyFont="1" applyFill="1" applyBorder="1" applyAlignment="1">
      <alignment horizontal="center" vertical="center"/>
    </xf>
    <xf numFmtId="174" fontId="19" fillId="0" borderId="55" xfId="0" applyNumberFormat="1" applyFont="1" applyFill="1" applyBorder="1" applyAlignment="1">
      <alignment horizontal="center" vertical="center"/>
    </xf>
    <xf numFmtId="174" fontId="19" fillId="0" borderId="181" xfId="0" applyNumberFormat="1" applyFont="1" applyFill="1" applyBorder="1" applyAlignment="1">
      <alignment horizontal="center" vertical="center"/>
    </xf>
    <xf numFmtId="177" fontId="20" fillId="0" borderId="311" xfId="0" applyNumberFormat="1" applyFont="1" applyFill="1" applyBorder="1" applyAlignment="1">
      <alignment horizontal="center" vertical="center"/>
    </xf>
    <xf numFmtId="177" fontId="20" fillId="0" borderId="156" xfId="0" applyNumberFormat="1" applyFont="1" applyFill="1" applyBorder="1" applyAlignment="1">
      <alignment horizontal="center" vertical="center"/>
    </xf>
    <xf numFmtId="177" fontId="20" fillId="0" borderId="312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32" xfId="0" applyFont="1" applyFill="1" applyBorder="1" applyAlignment="1">
      <alignment horizontal="left" vertical="center"/>
    </xf>
    <xf numFmtId="0" fontId="15" fillId="0" borderId="30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314" xfId="0" applyFont="1" applyFill="1" applyBorder="1" applyAlignment="1">
      <alignment horizontal="center" vertical="center"/>
    </xf>
    <xf numFmtId="0" fontId="19" fillId="0" borderId="315" xfId="0" applyFont="1" applyFill="1" applyBorder="1" applyAlignment="1">
      <alignment horizontal="center" vertical="center"/>
    </xf>
    <xf numFmtId="10" fontId="20" fillId="0" borderId="322" xfId="0" applyNumberFormat="1" applyFont="1" applyFill="1" applyBorder="1" applyAlignment="1">
      <alignment horizontal="center" vertical="center"/>
    </xf>
    <xf numFmtId="10" fontId="20" fillId="0" borderId="317" xfId="0" applyNumberFormat="1" applyFont="1" applyFill="1" applyBorder="1" applyAlignment="1">
      <alignment horizontal="center" vertical="center"/>
    </xf>
    <xf numFmtId="10" fontId="20" fillId="0" borderId="318" xfId="0" applyNumberFormat="1" applyFont="1" applyFill="1" applyBorder="1" applyAlignment="1">
      <alignment horizontal="center" vertical="center"/>
    </xf>
    <xf numFmtId="0" fontId="19" fillId="0" borderId="319" xfId="0" applyFont="1" applyFill="1" applyBorder="1" applyAlignment="1">
      <alignment horizontal="center" vertical="center"/>
    </xf>
    <xf numFmtId="0" fontId="19" fillId="0" borderId="320" xfId="0" applyFont="1" applyFill="1" applyBorder="1" applyAlignment="1">
      <alignment horizontal="center" vertical="center"/>
    </xf>
    <xf numFmtId="0" fontId="19" fillId="0" borderId="321" xfId="0" applyFont="1" applyFill="1" applyBorder="1" applyAlignment="1">
      <alignment horizontal="center" vertical="center"/>
    </xf>
    <xf numFmtId="10" fontId="20" fillId="0" borderId="311" xfId="0" applyNumberFormat="1" applyFont="1" applyFill="1" applyBorder="1" applyAlignment="1">
      <alignment horizontal="center" vertical="center"/>
    </xf>
    <xf numFmtId="10" fontId="20" fillId="0" borderId="156" xfId="0" applyNumberFormat="1" applyFont="1" applyFill="1" applyBorder="1" applyAlignment="1">
      <alignment horizontal="center" vertical="center"/>
    </xf>
    <xf numFmtId="10" fontId="20" fillId="0" borderId="312" xfId="0" applyNumberFormat="1" applyFont="1" applyFill="1" applyBorder="1" applyAlignment="1">
      <alignment horizontal="center" vertical="center"/>
    </xf>
    <xf numFmtId="10" fontId="20" fillId="0" borderId="32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5" fillId="0" borderId="180" xfId="0" applyFont="1" applyFill="1" applyBorder="1" applyAlignment="1">
      <alignment horizontal="left" vertical="center"/>
    </xf>
    <xf numFmtId="0" fontId="15" fillId="0" borderId="161" xfId="0" applyFont="1" applyFill="1" applyBorder="1" applyAlignment="1">
      <alignment horizontal="left" vertical="center"/>
    </xf>
    <xf numFmtId="0" fontId="15" fillId="0" borderId="44" xfId="0" applyFont="1" applyFill="1" applyBorder="1" applyAlignment="1">
      <alignment horizontal="left" vertical="center" wrapText="1"/>
    </xf>
    <xf numFmtId="0" fontId="15" fillId="0" borderId="157" xfId="0" applyFont="1" applyFill="1" applyBorder="1" applyAlignment="1">
      <alignment horizontal="left" vertical="center" wrapText="1"/>
    </xf>
    <xf numFmtId="177" fontId="20" fillId="0" borderId="323" xfId="0" applyNumberFormat="1" applyFont="1" applyFill="1" applyBorder="1" applyAlignment="1">
      <alignment horizontal="center" vertical="center" wrapText="1"/>
    </xf>
    <xf numFmtId="177" fontId="20" fillId="0" borderId="185" xfId="0" applyNumberFormat="1" applyFont="1" applyFill="1" applyBorder="1" applyAlignment="1">
      <alignment horizontal="center" vertical="center" wrapText="1"/>
    </xf>
    <xf numFmtId="10" fontId="20" fillId="0" borderId="323" xfId="0" applyNumberFormat="1" applyFont="1" applyFill="1" applyBorder="1" applyAlignment="1">
      <alignment horizontal="center" vertical="center" wrapText="1"/>
    </xf>
    <xf numFmtId="10" fontId="20" fillId="0" borderId="185" xfId="0" applyNumberFormat="1" applyFont="1" applyFill="1" applyBorder="1" applyAlignment="1">
      <alignment horizontal="center" vertical="center" wrapText="1"/>
    </xf>
    <xf numFmtId="174" fontId="19" fillId="0" borderId="324" xfId="0" applyNumberFormat="1" applyFont="1" applyFill="1" applyBorder="1" applyAlignment="1">
      <alignment horizontal="center" vertical="center" wrapText="1"/>
    </xf>
    <xf numFmtId="174" fontId="19" fillId="0" borderId="184" xfId="0" applyNumberFormat="1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21" fillId="0" borderId="149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40" borderId="66" xfId="0" applyFont="1" applyFill="1" applyBorder="1" applyAlignment="1">
      <alignment horizontal="center" vertical="center" wrapText="1"/>
    </xf>
    <xf numFmtId="0" fontId="15" fillId="40" borderId="68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5" xfId="0" applyFont="1" applyFill="1" applyBorder="1" applyAlignment="1">
      <alignment horizontal="left" vertical="center"/>
    </xf>
    <xf numFmtId="0" fontId="15" fillId="0" borderId="55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81" xfId="0" applyFont="1" applyFill="1" applyBorder="1" applyAlignment="1">
      <alignment horizontal="left" vertical="center"/>
    </xf>
    <xf numFmtId="0" fontId="15" fillId="0" borderId="112" xfId="0" applyFont="1" applyFill="1" applyBorder="1" applyAlignment="1">
      <alignment horizontal="left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181" xfId="0" applyFont="1" applyFill="1" applyBorder="1" applyAlignment="1">
      <alignment horizontal="center" vertical="center"/>
    </xf>
    <xf numFmtId="0" fontId="20" fillId="0" borderId="311" xfId="0" applyFont="1" applyBorder="1" applyAlignment="1">
      <alignment horizontal="center" vertical="center" wrapText="1"/>
    </xf>
    <xf numFmtId="0" fontId="20" fillId="0" borderId="185" xfId="0" applyFont="1" applyBorder="1" applyAlignment="1">
      <alignment horizontal="center" vertical="center" wrapText="1"/>
    </xf>
    <xf numFmtId="0" fontId="19" fillId="0" borderId="149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 wrapText="1"/>
    </xf>
    <xf numFmtId="0" fontId="19" fillId="0" borderId="112" xfId="0" applyFont="1" applyBorder="1" applyAlignment="1">
      <alignment horizontal="center" wrapText="1"/>
    </xf>
    <xf numFmtId="0" fontId="19" fillId="0" borderId="50" xfId="0" applyFont="1" applyFill="1" applyBorder="1" applyAlignment="1">
      <alignment horizontal="center" vertical="center"/>
    </xf>
    <xf numFmtId="0" fontId="19" fillId="0" borderId="183" xfId="0" applyFont="1" applyBorder="1" applyAlignment="1">
      <alignment horizontal="center"/>
    </xf>
    <xf numFmtId="0" fontId="19" fillId="0" borderId="44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183" xfId="0" applyFont="1" applyBorder="1" applyAlignment="1">
      <alignment horizontal="center" vertical="center"/>
    </xf>
    <xf numFmtId="0" fontId="15" fillId="0" borderId="181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 wrapText="1"/>
    </xf>
    <xf numFmtId="0" fontId="19" fillId="0" borderId="181" xfId="0" applyFont="1" applyBorder="1" applyAlignment="1">
      <alignment horizontal="center" vertical="center" wrapText="1"/>
    </xf>
    <xf numFmtId="0" fontId="20" fillId="0" borderId="312" xfId="0" applyFont="1" applyBorder="1" applyAlignment="1">
      <alignment horizontal="center" vertical="center" wrapText="1"/>
    </xf>
    <xf numFmtId="0" fontId="19" fillId="0" borderId="319" xfId="0" applyFont="1" applyBorder="1" applyAlignment="1">
      <alignment horizontal="center" vertical="center" wrapText="1"/>
    </xf>
    <xf numFmtId="0" fontId="19" fillId="0" borderId="321" xfId="0" applyFont="1" applyBorder="1" applyAlignment="1">
      <alignment horizontal="center" vertical="center" wrapText="1"/>
    </xf>
    <xf numFmtId="176" fontId="20" fillId="0" borderId="44" xfId="0" applyNumberFormat="1" applyFont="1" applyFill="1" applyBorder="1" applyAlignment="1">
      <alignment horizontal="center" vertical="center" wrapText="1"/>
    </xf>
    <xf numFmtId="176" fontId="20" fillId="0" borderId="157" xfId="0" applyNumberFormat="1" applyFont="1" applyFill="1" applyBorder="1" applyAlignment="1">
      <alignment horizontal="center" vertical="center" wrapText="1"/>
    </xf>
    <xf numFmtId="176" fontId="20" fillId="0" borderId="183" xfId="0" applyNumberFormat="1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left" vertical="center" wrapText="1"/>
    </xf>
    <xf numFmtId="0" fontId="15" fillId="0" borderId="59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center" vertical="center" wrapText="1"/>
    </xf>
    <xf numFmtId="10" fontId="20" fillId="0" borderId="325" xfId="0" applyNumberFormat="1" applyFont="1" applyFill="1" applyBorder="1" applyAlignment="1">
      <alignment horizontal="center" vertical="center" wrapText="1"/>
    </xf>
    <xf numFmtId="176" fontId="19" fillId="0" borderId="41" xfId="0" applyNumberFormat="1" applyFont="1" applyFill="1" applyBorder="1" applyAlignment="1">
      <alignment horizontal="center" vertical="center" wrapText="1"/>
    </xf>
    <xf numFmtId="176" fontId="19" fillId="0" borderId="55" xfId="0" applyNumberFormat="1" applyFont="1" applyFill="1" applyBorder="1" applyAlignment="1">
      <alignment horizontal="center" vertical="center" wrapText="1"/>
    </xf>
    <xf numFmtId="176" fontId="19" fillId="0" borderId="181" xfId="0" applyNumberFormat="1" applyFont="1" applyFill="1" applyBorder="1" applyAlignment="1">
      <alignment horizontal="center" vertical="center" wrapText="1"/>
    </xf>
    <xf numFmtId="176" fontId="19" fillId="0" borderId="41" xfId="0" applyNumberFormat="1" applyFont="1" applyFill="1" applyBorder="1" applyAlignment="1">
      <alignment horizontal="center" vertical="center"/>
    </xf>
    <xf numFmtId="176" fontId="19" fillId="0" borderId="55" xfId="0" applyNumberFormat="1" applyFont="1" applyFill="1" applyBorder="1" applyAlignment="1">
      <alignment horizontal="center" vertical="center"/>
    </xf>
    <xf numFmtId="176" fontId="19" fillId="0" borderId="181" xfId="0" applyNumberFormat="1" applyFont="1" applyFill="1" applyBorder="1" applyAlignment="1">
      <alignment horizontal="center" vertical="center"/>
    </xf>
    <xf numFmtId="176" fontId="20" fillId="0" borderId="44" xfId="0" applyNumberFormat="1" applyFont="1" applyFill="1" applyBorder="1" applyAlignment="1">
      <alignment horizontal="center" vertical="center"/>
    </xf>
    <xf numFmtId="176" fontId="20" fillId="0" borderId="157" xfId="0" applyNumberFormat="1" applyFont="1" applyFill="1" applyBorder="1" applyAlignment="1">
      <alignment horizontal="center" vertical="center"/>
    </xf>
    <xf numFmtId="176" fontId="20" fillId="0" borderId="183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181" xfId="0" applyFont="1" applyFill="1" applyBorder="1" applyAlignment="1">
      <alignment horizontal="center" vertical="center"/>
    </xf>
    <xf numFmtId="0" fontId="15" fillId="0" borderId="112" xfId="0" applyFont="1" applyFill="1" applyBorder="1" applyAlignment="1">
      <alignment horizontal="center" vertical="center"/>
    </xf>
    <xf numFmtId="176" fontId="19" fillId="0" borderId="319" xfId="0" applyNumberFormat="1" applyFont="1" applyFill="1" applyBorder="1" applyAlignment="1">
      <alignment horizontal="center" vertical="center" wrapText="1"/>
    </xf>
    <xf numFmtId="176" fontId="19" fillId="0" borderId="321" xfId="0" applyNumberFormat="1" applyFont="1" applyFill="1" applyBorder="1" applyAlignment="1">
      <alignment horizontal="center" vertical="center" wrapText="1"/>
    </xf>
    <xf numFmtId="176" fontId="19" fillId="0" borderId="324" xfId="0" applyNumberFormat="1" applyFont="1" applyFill="1" applyBorder="1" applyAlignment="1">
      <alignment horizontal="center" vertical="center" wrapText="1"/>
    </xf>
    <xf numFmtId="176" fontId="19" fillId="0" borderId="184" xfId="0" applyNumberFormat="1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12" xfId="0" applyFont="1" applyFill="1" applyBorder="1" applyAlignment="1">
      <alignment horizontal="left" vertical="center" wrapText="1"/>
    </xf>
    <xf numFmtId="176" fontId="19" fillId="0" borderId="320" xfId="0" applyNumberFormat="1" applyFont="1" applyFill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183" xfId="0" applyFont="1" applyBorder="1" applyAlignment="1">
      <alignment horizontal="center" vertical="center" wrapText="1"/>
    </xf>
    <xf numFmtId="0" fontId="19" fillId="0" borderId="183" xfId="0" applyFont="1" applyFill="1" applyBorder="1" applyAlignment="1">
      <alignment horizontal="center" vertical="center" wrapText="1"/>
    </xf>
    <xf numFmtId="177" fontId="20" fillId="0" borderId="311" xfId="0" applyNumberFormat="1" applyFont="1" applyFill="1" applyBorder="1" applyAlignment="1">
      <alignment horizontal="center" vertical="center" wrapText="1"/>
    </xf>
    <xf numFmtId="177" fontId="20" fillId="0" borderId="156" xfId="0" applyNumberFormat="1" applyFont="1" applyFill="1" applyBorder="1" applyAlignment="1">
      <alignment horizontal="center" vertical="center" wrapText="1"/>
    </xf>
    <xf numFmtId="177" fontId="20" fillId="0" borderId="312" xfId="0" applyNumberFormat="1" applyFont="1" applyFill="1" applyBorder="1" applyAlignment="1">
      <alignment horizontal="center" vertical="center" wrapText="1"/>
    </xf>
    <xf numFmtId="176" fontId="20" fillId="0" borderId="44" xfId="0" applyNumberFormat="1" applyFont="1" applyFill="1" applyBorder="1" applyAlignment="1">
      <alignment horizontal="center" vertical="center" wrapText="1"/>
    </xf>
    <xf numFmtId="176" fontId="20" fillId="0" borderId="157" xfId="0" applyNumberFormat="1" applyFont="1" applyFill="1" applyBorder="1" applyAlignment="1">
      <alignment horizontal="center" vertical="center" wrapText="1"/>
    </xf>
    <xf numFmtId="176" fontId="20" fillId="0" borderId="183" xfId="0" applyNumberFormat="1" applyFont="1" applyFill="1" applyBorder="1" applyAlignment="1">
      <alignment horizontal="center" vertical="center" wrapText="1"/>
    </xf>
    <xf numFmtId="0" fontId="24" fillId="0" borderId="216" xfId="0" applyFont="1" applyFill="1" applyBorder="1" applyAlignment="1">
      <alignment horizontal="center" vertical="center"/>
    </xf>
    <xf numFmtId="0" fontId="24" fillId="0" borderId="221" xfId="0" applyFont="1" applyFill="1" applyBorder="1" applyAlignment="1">
      <alignment horizontal="center" vertical="center"/>
    </xf>
    <xf numFmtId="176" fontId="21" fillId="41" borderId="97" xfId="0" applyNumberFormat="1" applyFont="1" applyFill="1" applyBorder="1" applyAlignment="1">
      <alignment horizontal="center" vertical="center"/>
    </xf>
    <xf numFmtId="176" fontId="21" fillId="41" borderId="204" xfId="0" applyNumberFormat="1" applyFont="1" applyFill="1" applyBorder="1" applyAlignment="1">
      <alignment horizontal="center" vertical="center"/>
    </xf>
    <xf numFmtId="0" fontId="30" fillId="0" borderId="291" xfId="0" applyFont="1" applyBorder="1" applyAlignment="1">
      <alignment/>
    </xf>
    <xf numFmtId="0" fontId="15" fillId="0" borderId="97" xfId="0" applyFont="1" applyBorder="1" applyAlignment="1">
      <alignment/>
    </xf>
    <xf numFmtId="0" fontId="15" fillId="0" borderId="13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left" vertical="center" wrapText="1"/>
    </xf>
    <xf numFmtId="0" fontId="15" fillId="0" borderId="59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9" fillId="0" borderId="313" xfId="0" applyFont="1" applyFill="1" applyBorder="1" applyAlignment="1">
      <alignment horizontal="center" vertical="center" wrapText="1"/>
    </xf>
    <xf numFmtId="0" fontId="19" fillId="0" borderId="314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315" xfId="0" applyFont="1" applyFill="1" applyBorder="1" applyAlignment="1">
      <alignment horizontal="center" vertical="center" wrapText="1"/>
    </xf>
    <xf numFmtId="10" fontId="20" fillId="0" borderId="316" xfId="0" applyNumberFormat="1" applyFont="1" applyFill="1" applyBorder="1" applyAlignment="1">
      <alignment horizontal="center" vertical="center" wrapText="1"/>
    </xf>
    <xf numFmtId="10" fontId="20" fillId="0" borderId="317" xfId="0" applyNumberFormat="1" applyFont="1" applyFill="1" applyBorder="1" applyAlignment="1">
      <alignment horizontal="center" vertical="center" wrapText="1"/>
    </xf>
    <xf numFmtId="10" fontId="20" fillId="0" borderId="325" xfId="0" applyNumberFormat="1" applyFont="1" applyFill="1" applyBorder="1" applyAlignment="1">
      <alignment horizontal="center" vertical="center" wrapText="1"/>
    </xf>
    <xf numFmtId="10" fontId="20" fillId="0" borderId="318" xfId="0" applyNumberFormat="1" applyFont="1" applyFill="1" applyBorder="1" applyAlignment="1">
      <alignment horizontal="center" vertical="center" wrapText="1"/>
    </xf>
    <xf numFmtId="0" fontId="19" fillId="0" borderId="319" xfId="0" applyFont="1" applyFill="1" applyBorder="1" applyAlignment="1">
      <alignment horizontal="center" vertical="center" wrapText="1"/>
    </xf>
    <xf numFmtId="0" fontId="19" fillId="0" borderId="320" xfId="0" applyFont="1" applyFill="1" applyBorder="1" applyAlignment="1">
      <alignment horizontal="center" vertical="center" wrapText="1"/>
    </xf>
    <xf numFmtId="0" fontId="19" fillId="0" borderId="321" xfId="0" applyFont="1" applyFill="1" applyBorder="1" applyAlignment="1">
      <alignment horizontal="center" vertical="center" wrapText="1"/>
    </xf>
    <xf numFmtId="10" fontId="20" fillId="0" borderId="311" xfId="0" applyNumberFormat="1" applyFont="1" applyFill="1" applyBorder="1" applyAlignment="1">
      <alignment horizontal="center" vertical="center" wrapText="1"/>
    </xf>
    <xf numFmtId="10" fontId="20" fillId="0" borderId="156" xfId="0" applyNumberFormat="1" applyFont="1" applyFill="1" applyBorder="1" applyAlignment="1">
      <alignment horizontal="center" vertical="center" wrapText="1"/>
    </xf>
    <xf numFmtId="10" fontId="20" fillId="0" borderId="312" xfId="0" applyNumberFormat="1" applyFont="1" applyFill="1" applyBorder="1" applyAlignment="1">
      <alignment horizontal="center" vertical="center" wrapText="1"/>
    </xf>
    <xf numFmtId="176" fontId="19" fillId="0" borderId="41" xfId="0" applyNumberFormat="1" applyFont="1" applyFill="1" applyBorder="1" applyAlignment="1">
      <alignment horizontal="center" vertical="center" wrapText="1"/>
    </xf>
    <xf numFmtId="176" fontId="19" fillId="0" borderId="55" xfId="0" applyNumberFormat="1" applyFont="1" applyFill="1" applyBorder="1" applyAlignment="1">
      <alignment horizontal="center" vertical="center" wrapText="1"/>
    </xf>
    <xf numFmtId="176" fontId="19" fillId="0" borderId="181" xfId="0" applyNumberFormat="1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0" fillId="0" borderId="45" xfId="0" applyBorder="1" applyAlignment="1">
      <alignment/>
    </xf>
    <xf numFmtId="0" fontId="0" fillId="0" borderId="55" xfId="0" applyBorder="1" applyAlignment="1">
      <alignment/>
    </xf>
    <xf numFmtId="0" fontId="0" fillId="0" borderId="10" xfId="0" applyBorder="1" applyAlignment="1">
      <alignment/>
    </xf>
    <xf numFmtId="0" fontId="0" fillId="0" borderId="181" xfId="0" applyBorder="1" applyAlignment="1">
      <alignment/>
    </xf>
    <xf numFmtId="0" fontId="0" fillId="0" borderId="112" xfId="0" applyBorder="1" applyAlignment="1">
      <alignment/>
    </xf>
    <xf numFmtId="0" fontId="0" fillId="0" borderId="320" xfId="0" applyBorder="1" applyAlignment="1">
      <alignment/>
    </xf>
    <xf numFmtId="0" fontId="0" fillId="0" borderId="321" xfId="0" applyBorder="1" applyAlignment="1">
      <alignment/>
    </xf>
    <xf numFmtId="0" fontId="15" fillId="0" borderId="5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left" vertical="center" wrapText="1"/>
    </xf>
    <xf numFmtId="0" fontId="15" fillId="0" borderId="181" xfId="0" applyFont="1" applyFill="1" applyBorder="1" applyAlignment="1">
      <alignment horizontal="left" vertical="center" wrapText="1"/>
    </xf>
    <xf numFmtId="0" fontId="15" fillId="0" borderId="182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181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9" fillId="0" borderId="149" xfId="0" applyFont="1" applyFill="1" applyBorder="1" applyAlignment="1">
      <alignment horizontal="center" vertical="center" wrapText="1"/>
    </xf>
    <xf numFmtId="10" fontId="20" fillId="0" borderId="152" xfId="0" applyNumberFormat="1" applyFont="1" applyFill="1" applyBorder="1" applyAlignment="1">
      <alignment horizontal="center" vertical="center" wrapText="1"/>
    </xf>
    <xf numFmtId="0" fontId="15" fillId="0" borderId="149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177" fontId="20" fillId="0" borderId="311" xfId="0" applyNumberFormat="1" applyFont="1" applyFill="1" applyBorder="1" applyAlignment="1">
      <alignment horizontal="center" vertical="center"/>
    </xf>
    <xf numFmtId="177" fontId="20" fillId="0" borderId="156" xfId="0" applyNumberFormat="1" applyFont="1" applyFill="1" applyBorder="1" applyAlignment="1">
      <alignment horizontal="center" vertical="center"/>
    </xf>
    <xf numFmtId="177" fontId="20" fillId="0" borderId="312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32" xfId="0" applyFont="1" applyFill="1" applyBorder="1" applyAlignment="1">
      <alignment horizontal="left" vertical="center"/>
    </xf>
    <xf numFmtId="0" fontId="15" fillId="0" borderId="30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314" xfId="0" applyFont="1" applyFill="1" applyBorder="1" applyAlignment="1">
      <alignment horizontal="center" vertical="center"/>
    </xf>
    <xf numFmtId="0" fontId="19" fillId="0" borderId="315" xfId="0" applyFont="1" applyFill="1" applyBorder="1" applyAlignment="1">
      <alignment horizontal="center" vertical="center"/>
    </xf>
    <xf numFmtId="10" fontId="20" fillId="0" borderId="322" xfId="0" applyNumberFormat="1" applyFont="1" applyFill="1" applyBorder="1" applyAlignment="1">
      <alignment horizontal="center" vertical="center"/>
    </xf>
    <xf numFmtId="10" fontId="20" fillId="0" borderId="317" xfId="0" applyNumberFormat="1" applyFont="1" applyFill="1" applyBorder="1" applyAlignment="1">
      <alignment horizontal="center" vertical="center"/>
    </xf>
    <xf numFmtId="10" fontId="20" fillId="0" borderId="318" xfId="0" applyNumberFormat="1" applyFont="1" applyFill="1" applyBorder="1" applyAlignment="1">
      <alignment horizontal="center" vertical="center"/>
    </xf>
    <xf numFmtId="0" fontId="19" fillId="0" borderId="319" xfId="0" applyFont="1" applyFill="1" applyBorder="1" applyAlignment="1">
      <alignment horizontal="center" vertical="center"/>
    </xf>
    <xf numFmtId="0" fontId="19" fillId="0" borderId="320" xfId="0" applyFont="1" applyFill="1" applyBorder="1" applyAlignment="1">
      <alignment horizontal="center" vertical="center"/>
    </xf>
    <xf numFmtId="0" fontId="19" fillId="0" borderId="321" xfId="0" applyFont="1" applyFill="1" applyBorder="1" applyAlignment="1">
      <alignment horizontal="center" vertical="center"/>
    </xf>
    <xf numFmtId="10" fontId="20" fillId="0" borderId="311" xfId="0" applyNumberFormat="1" applyFont="1" applyFill="1" applyBorder="1" applyAlignment="1">
      <alignment horizontal="center" vertical="center"/>
    </xf>
    <xf numFmtId="10" fontId="20" fillId="0" borderId="156" xfId="0" applyNumberFormat="1" applyFont="1" applyFill="1" applyBorder="1" applyAlignment="1">
      <alignment horizontal="center" vertical="center"/>
    </xf>
    <xf numFmtId="10" fontId="20" fillId="0" borderId="312" xfId="0" applyNumberFormat="1" applyFont="1" applyFill="1" applyBorder="1" applyAlignment="1">
      <alignment horizontal="center" vertical="center"/>
    </xf>
    <xf numFmtId="176" fontId="19" fillId="0" borderId="41" xfId="0" applyNumberFormat="1" applyFont="1" applyFill="1" applyBorder="1" applyAlignment="1">
      <alignment horizontal="center" vertical="center"/>
    </xf>
    <xf numFmtId="176" fontId="19" fillId="0" borderId="55" xfId="0" applyNumberFormat="1" applyFont="1" applyFill="1" applyBorder="1" applyAlignment="1">
      <alignment horizontal="center" vertical="center"/>
    </xf>
    <xf numFmtId="176" fontId="19" fillId="0" borderId="181" xfId="0" applyNumberFormat="1" applyFont="1" applyFill="1" applyBorder="1" applyAlignment="1">
      <alignment horizontal="center" vertical="center"/>
    </xf>
    <xf numFmtId="176" fontId="20" fillId="0" borderId="44" xfId="0" applyNumberFormat="1" applyFont="1" applyFill="1" applyBorder="1" applyAlignment="1">
      <alignment horizontal="center" vertical="center"/>
    </xf>
    <xf numFmtId="176" fontId="20" fillId="0" borderId="157" xfId="0" applyNumberFormat="1" applyFont="1" applyFill="1" applyBorder="1" applyAlignment="1">
      <alignment horizontal="center" vertical="center"/>
    </xf>
    <xf numFmtId="176" fontId="20" fillId="0" borderId="183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center" vertical="center" wrapText="1"/>
    </xf>
    <xf numFmtId="10" fontId="20" fillId="0" borderId="322" xfId="0" applyNumberFormat="1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5" xfId="0" applyFont="1" applyFill="1" applyBorder="1" applyAlignment="1">
      <alignment horizontal="left" vertical="center"/>
    </xf>
    <xf numFmtId="0" fontId="15" fillId="0" borderId="181" xfId="0" applyFont="1" applyFill="1" applyBorder="1" applyAlignment="1">
      <alignment horizontal="left" vertical="center"/>
    </xf>
    <xf numFmtId="0" fontId="15" fillId="0" borderId="112" xfId="0" applyFont="1" applyFill="1" applyBorder="1" applyAlignment="1">
      <alignment horizontal="left" vertical="center"/>
    </xf>
    <xf numFmtId="176" fontId="19" fillId="0" borderId="319" xfId="0" applyNumberFormat="1" applyFont="1" applyFill="1" applyBorder="1" applyAlignment="1">
      <alignment horizontal="center" vertical="center" wrapText="1"/>
    </xf>
    <xf numFmtId="176" fontId="19" fillId="0" borderId="321" xfId="0" applyNumberFormat="1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left" vertical="center" wrapText="1"/>
    </xf>
    <xf numFmtId="0" fontId="15" fillId="0" borderId="157" xfId="0" applyFont="1" applyFill="1" applyBorder="1" applyAlignment="1">
      <alignment horizontal="left" vertical="center" wrapText="1"/>
    </xf>
    <xf numFmtId="10" fontId="20" fillId="0" borderId="323" xfId="0" applyNumberFormat="1" applyFont="1" applyFill="1" applyBorder="1" applyAlignment="1">
      <alignment horizontal="center" vertical="center" wrapText="1"/>
    </xf>
    <xf numFmtId="10" fontId="20" fillId="0" borderId="326" xfId="0" applyNumberFormat="1" applyFont="1" applyFill="1" applyBorder="1" applyAlignment="1">
      <alignment horizontal="center" vertical="center" wrapText="1"/>
    </xf>
    <xf numFmtId="10" fontId="20" fillId="0" borderId="185" xfId="0" applyNumberFormat="1" applyFont="1" applyFill="1" applyBorder="1" applyAlignment="1">
      <alignment horizontal="center" vertical="center" wrapText="1"/>
    </xf>
    <xf numFmtId="176" fontId="19" fillId="0" borderId="324" xfId="0" applyNumberFormat="1" applyFont="1" applyFill="1" applyBorder="1" applyAlignment="1">
      <alignment horizontal="center" vertical="center" wrapText="1"/>
    </xf>
    <xf numFmtId="176" fontId="19" fillId="0" borderId="327" xfId="0" applyNumberFormat="1" applyFont="1" applyFill="1" applyBorder="1" applyAlignment="1">
      <alignment horizontal="center" vertical="center" wrapText="1"/>
    </xf>
    <xf numFmtId="176" fontId="19" fillId="0" borderId="184" xfId="0" applyNumberFormat="1" applyFont="1" applyFill="1" applyBorder="1" applyAlignment="1">
      <alignment horizontal="center" vertical="center" wrapText="1"/>
    </xf>
    <xf numFmtId="177" fontId="20" fillId="0" borderId="323" xfId="0" applyNumberFormat="1" applyFont="1" applyFill="1" applyBorder="1" applyAlignment="1">
      <alignment horizontal="center" vertical="center" wrapText="1"/>
    </xf>
    <xf numFmtId="177" fontId="20" fillId="0" borderId="326" xfId="0" applyNumberFormat="1" applyFont="1" applyFill="1" applyBorder="1" applyAlignment="1">
      <alignment horizontal="center" vertical="center" wrapText="1"/>
    </xf>
    <xf numFmtId="177" fontId="20" fillId="0" borderId="185" xfId="0" applyNumberFormat="1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12" xfId="0" applyFont="1" applyFill="1" applyBorder="1" applyAlignment="1">
      <alignment horizontal="left" vertical="center" wrapText="1"/>
    </xf>
    <xf numFmtId="176" fontId="19" fillId="0" borderId="320" xfId="0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183" xfId="0" applyFont="1" applyBorder="1" applyAlignment="1">
      <alignment horizontal="center"/>
    </xf>
    <xf numFmtId="0" fontId="19" fillId="0" borderId="52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21" fillId="0" borderId="149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13" borderId="66" xfId="0" applyFont="1" applyFill="1" applyBorder="1" applyAlignment="1">
      <alignment horizontal="center" vertical="center" wrapText="1"/>
    </xf>
    <xf numFmtId="0" fontId="15" fillId="13" borderId="68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181" xfId="0" applyFont="1" applyFill="1" applyBorder="1" applyAlignment="1">
      <alignment horizontal="center" vertical="center"/>
    </xf>
    <xf numFmtId="0" fontId="20" fillId="0" borderId="311" xfId="0" applyFont="1" applyBorder="1" applyAlignment="1">
      <alignment horizontal="center" vertical="center" wrapText="1"/>
    </xf>
    <xf numFmtId="0" fontId="20" fillId="0" borderId="185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183" xfId="0" applyFont="1" applyBorder="1" applyAlignment="1">
      <alignment horizontal="center" vertical="center" wrapText="1"/>
    </xf>
    <xf numFmtId="0" fontId="19" fillId="0" borderId="149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183" xfId="0" applyFont="1" applyBorder="1" applyAlignment="1">
      <alignment horizontal="center" vertical="center"/>
    </xf>
    <xf numFmtId="0" fontId="15" fillId="0" borderId="181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 wrapText="1"/>
    </xf>
    <xf numFmtId="0" fontId="19" fillId="0" borderId="181" xfId="0" applyFont="1" applyBorder="1" applyAlignment="1">
      <alignment horizontal="center" vertical="center" wrapText="1"/>
    </xf>
    <xf numFmtId="0" fontId="20" fillId="0" borderId="312" xfId="0" applyFont="1" applyBorder="1" applyAlignment="1">
      <alignment horizontal="center" vertical="center" wrapText="1"/>
    </xf>
    <xf numFmtId="0" fontId="19" fillId="0" borderId="319" xfId="0" applyFont="1" applyBorder="1" applyAlignment="1">
      <alignment horizontal="center" vertical="center" wrapText="1"/>
    </xf>
    <xf numFmtId="0" fontId="19" fillId="0" borderId="321" xfId="0" applyFont="1" applyBorder="1" applyAlignment="1">
      <alignment horizontal="center" vertical="center" wrapText="1"/>
    </xf>
    <xf numFmtId="0" fontId="0" fillId="0" borderId="320" xfId="0" applyFill="1" applyBorder="1" applyAlignment="1">
      <alignment/>
    </xf>
    <xf numFmtId="0" fontId="0" fillId="0" borderId="321" xfId="0" applyFill="1" applyBorder="1" applyAlignment="1">
      <alignment/>
    </xf>
    <xf numFmtId="0" fontId="19" fillId="0" borderId="48" xfId="0" applyFont="1" applyFill="1" applyBorder="1" applyAlignment="1">
      <alignment horizontal="center" vertical="center"/>
    </xf>
    <xf numFmtId="0" fontId="21" fillId="12" borderId="66" xfId="0" applyFont="1" applyFill="1" applyBorder="1" applyAlignment="1">
      <alignment horizontal="center" vertical="center" wrapText="1"/>
    </xf>
    <xf numFmtId="0" fontId="15" fillId="12" borderId="6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0" fontId="19" fillId="0" borderId="313" xfId="0" applyFont="1" applyFill="1" applyBorder="1" applyAlignment="1">
      <alignment horizontal="center" vertical="center"/>
    </xf>
    <xf numFmtId="10" fontId="20" fillId="0" borderId="316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1" xfId="0" applyFill="1" applyBorder="1" applyAlignment="1">
      <alignment/>
    </xf>
    <xf numFmtId="0" fontId="0" fillId="0" borderId="112" xfId="0" applyFill="1" applyBorder="1" applyAlignment="1">
      <alignment/>
    </xf>
    <xf numFmtId="0" fontId="15" fillId="0" borderId="60" xfId="0" applyFont="1" applyFill="1" applyBorder="1" applyAlignment="1">
      <alignment horizontal="left" vertical="center"/>
    </xf>
    <xf numFmtId="0" fontId="15" fillId="0" borderId="59" xfId="0" applyFont="1" applyFill="1" applyBorder="1" applyAlignment="1">
      <alignment horizontal="left" vertical="center"/>
    </xf>
    <xf numFmtId="0" fontId="19" fillId="0" borderId="28" xfId="0" applyFont="1" applyFill="1" applyBorder="1" applyAlignment="1">
      <alignment horizontal="center" vertical="center"/>
    </xf>
    <xf numFmtId="10" fontId="20" fillId="0" borderId="325" xfId="0" applyNumberFormat="1" applyFont="1" applyFill="1" applyBorder="1" applyAlignment="1">
      <alignment horizontal="center" vertical="center"/>
    </xf>
    <xf numFmtId="0" fontId="19" fillId="0" borderId="183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/>
    </xf>
    <xf numFmtId="0" fontId="70" fillId="0" borderId="44" xfId="0" applyFont="1" applyBorder="1" applyAlignment="1">
      <alignment horizontal="center" vertical="center"/>
    </xf>
    <xf numFmtId="0" fontId="71" fillId="0" borderId="41" xfId="0" applyFont="1" applyBorder="1" applyAlignment="1">
      <alignment horizontal="center" vertical="center"/>
    </xf>
    <xf numFmtId="0" fontId="71" fillId="0" borderId="183" xfId="0" applyFont="1" applyBorder="1" applyAlignment="1">
      <alignment horizontal="center" vertical="center"/>
    </xf>
    <xf numFmtId="0" fontId="71" fillId="0" borderId="181" xfId="0" applyFont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177" fontId="20" fillId="0" borderId="328" xfId="50" applyNumberFormat="1" applyFont="1" applyFill="1" applyBorder="1" applyAlignment="1">
      <alignment horizontal="center" vertical="center" wrapText="1"/>
      <protection/>
    </xf>
    <xf numFmtId="177" fontId="20" fillId="0" borderId="329" xfId="50" applyNumberFormat="1" applyFont="1" applyFill="1" applyBorder="1" applyAlignment="1">
      <alignment horizontal="center" vertical="center" wrapText="1"/>
      <protection/>
    </xf>
    <xf numFmtId="176" fontId="20" fillId="0" borderId="44" xfId="50" applyNumberFormat="1" applyFont="1" applyFill="1" applyBorder="1" applyAlignment="1">
      <alignment horizontal="center" vertical="center" wrapText="1"/>
      <protection/>
    </xf>
    <xf numFmtId="176" fontId="20" fillId="0" borderId="157" xfId="50" applyNumberFormat="1" applyFont="1" applyFill="1" applyBorder="1" applyAlignment="1">
      <alignment horizontal="center" vertical="center" wrapText="1"/>
      <protection/>
    </xf>
    <xf numFmtId="176" fontId="20" fillId="0" borderId="183" xfId="50" applyNumberFormat="1" applyFont="1" applyFill="1" applyBorder="1" applyAlignment="1">
      <alignment horizontal="center" vertical="center" wrapText="1"/>
      <protection/>
    </xf>
    <xf numFmtId="0" fontId="24" fillId="0" borderId="216" xfId="50" applyFont="1" applyFill="1" applyBorder="1" applyAlignment="1">
      <alignment horizontal="center" vertical="center"/>
      <protection/>
    </xf>
    <xf numFmtId="0" fontId="24" fillId="0" borderId="221" xfId="50" applyFont="1" applyFill="1" applyBorder="1" applyAlignment="1">
      <alignment horizontal="center" vertical="center"/>
      <protection/>
    </xf>
    <xf numFmtId="176" fontId="21" fillId="18" borderId="97" xfId="50" applyNumberFormat="1" applyFont="1" applyFill="1" applyBorder="1" applyAlignment="1">
      <alignment horizontal="center" vertical="center"/>
      <protection/>
    </xf>
    <xf numFmtId="176" fontId="21" fillId="18" borderId="204" xfId="50" applyNumberFormat="1" applyFont="1" applyFill="1" applyBorder="1" applyAlignment="1">
      <alignment horizontal="center" vertical="center"/>
      <protection/>
    </xf>
    <xf numFmtId="0" fontId="30" fillId="0" borderId="291" xfId="50" applyFont="1" applyBorder="1" applyAlignment="1">
      <alignment/>
      <protection/>
    </xf>
    <xf numFmtId="0" fontId="15" fillId="0" borderId="97" xfId="50" applyFont="1" applyBorder="1" applyAlignment="1">
      <alignment/>
      <protection/>
    </xf>
    <xf numFmtId="0" fontId="15" fillId="0" borderId="204" xfId="50" applyFont="1" applyBorder="1" applyAlignment="1">
      <alignment/>
      <protection/>
    </xf>
    <xf numFmtId="0" fontId="15" fillId="0" borderId="48" xfId="50" applyFont="1" applyFill="1" applyBorder="1" applyAlignment="1">
      <alignment horizontal="left" vertical="center" wrapText="1"/>
      <protection/>
    </xf>
    <xf numFmtId="0" fontId="15" fillId="0" borderId="50" xfId="50" applyFont="1" applyFill="1" applyBorder="1" applyAlignment="1">
      <alignment horizontal="left" vertical="center" wrapText="1"/>
      <protection/>
    </xf>
    <xf numFmtId="0" fontId="19" fillId="0" borderId="149" xfId="50" applyFont="1" applyFill="1" applyBorder="1" applyAlignment="1">
      <alignment horizontal="center" vertical="center" wrapText="1"/>
      <protection/>
    </xf>
    <xf numFmtId="10" fontId="20" fillId="0" borderId="265" xfId="50" applyNumberFormat="1" applyFont="1" applyFill="1" applyBorder="1" applyAlignment="1">
      <alignment horizontal="center" vertical="center" wrapText="1"/>
      <protection/>
    </xf>
    <xf numFmtId="0" fontId="19" fillId="0" borderId="41" xfId="50" applyFont="1" applyFill="1" applyBorder="1" applyAlignment="1">
      <alignment horizontal="center" vertical="center" wrapText="1"/>
      <protection/>
    </xf>
    <xf numFmtId="0" fontId="19" fillId="0" borderId="55" xfId="50" applyFont="1" applyFill="1" applyBorder="1" applyAlignment="1">
      <alignment horizontal="center" vertical="center" wrapText="1"/>
      <protection/>
    </xf>
    <xf numFmtId="0" fontId="19" fillId="0" borderId="181" xfId="50" applyFont="1" applyFill="1" applyBorder="1" applyAlignment="1">
      <alignment horizontal="center" vertical="center" wrapText="1"/>
      <protection/>
    </xf>
    <xf numFmtId="10" fontId="20" fillId="0" borderId="328" xfId="50" applyNumberFormat="1" applyFont="1" applyFill="1" applyBorder="1" applyAlignment="1">
      <alignment horizontal="center" vertical="center" wrapText="1"/>
      <protection/>
    </xf>
    <xf numFmtId="10" fontId="20" fillId="0" borderId="329" xfId="50" applyNumberFormat="1" applyFont="1" applyFill="1" applyBorder="1" applyAlignment="1">
      <alignment horizontal="center" vertical="center" wrapText="1"/>
      <protection/>
    </xf>
    <xf numFmtId="10" fontId="20" fillId="0" borderId="330" xfId="50" applyNumberFormat="1" applyFont="1" applyFill="1" applyBorder="1" applyAlignment="1">
      <alignment horizontal="center" vertical="center" wrapText="1"/>
      <protection/>
    </xf>
    <xf numFmtId="176" fontId="19" fillId="0" borderId="41" xfId="50" applyNumberFormat="1" applyFont="1" applyFill="1" applyBorder="1" applyAlignment="1">
      <alignment horizontal="center" vertical="center"/>
      <protection/>
    </xf>
    <xf numFmtId="176" fontId="19" fillId="0" borderId="55" xfId="50" applyNumberFormat="1" applyFont="1" applyFill="1" applyBorder="1" applyAlignment="1">
      <alignment horizontal="center" vertical="center"/>
      <protection/>
    </xf>
    <xf numFmtId="176" fontId="19" fillId="0" borderId="181" xfId="50" applyNumberFormat="1" applyFont="1" applyFill="1" applyBorder="1" applyAlignment="1">
      <alignment horizontal="center" vertical="center"/>
      <protection/>
    </xf>
    <xf numFmtId="177" fontId="20" fillId="0" borderId="328" xfId="50" applyNumberFormat="1" applyFont="1" applyFill="1" applyBorder="1" applyAlignment="1">
      <alignment horizontal="center" vertical="center"/>
      <protection/>
    </xf>
    <xf numFmtId="177" fontId="20" fillId="0" borderId="329" xfId="50" applyNumberFormat="1" applyFont="1" applyFill="1" applyBorder="1" applyAlignment="1">
      <alignment horizontal="center" vertical="center"/>
      <protection/>
    </xf>
    <xf numFmtId="177" fontId="20" fillId="0" borderId="330" xfId="50" applyNumberFormat="1" applyFont="1" applyFill="1" applyBorder="1" applyAlignment="1">
      <alignment horizontal="center" vertical="center"/>
      <protection/>
    </xf>
    <xf numFmtId="0" fontId="15" fillId="0" borderId="13" xfId="50" applyFont="1" applyFill="1" applyBorder="1" applyAlignment="1">
      <alignment horizontal="left" vertical="center" wrapText="1"/>
      <protection/>
    </xf>
    <xf numFmtId="0" fontId="15" fillId="0" borderId="19" xfId="50" applyFont="1" applyFill="1" applyBorder="1" applyAlignment="1">
      <alignment horizontal="left" vertical="center" wrapText="1"/>
      <protection/>
    </xf>
    <xf numFmtId="0" fontId="15" fillId="0" borderId="32" xfId="50" applyFont="1" applyFill="1" applyBorder="1" applyAlignment="1">
      <alignment horizontal="left" vertical="center" wrapText="1"/>
      <protection/>
    </xf>
    <xf numFmtId="0" fontId="15" fillId="0" borderId="30" xfId="50" applyFont="1" applyFill="1" applyBorder="1" applyAlignment="1">
      <alignment horizontal="left" vertical="center" wrapText="1"/>
      <protection/>
    </xf>
    <xf numFmtId="0" fontId="19" fillId="0" borderId="313" xfId="50" applyFont="1" applyFill="1" applyBorder="1" applyAlignment="1">
      <alignment horizontal="center" vertical="center" wrapText="1"/>
      <protection/>
    </xf>
    <xf numFmtId="0" fontId="19" fillId="0" borderId="314" xfId="50" applyFont="1" applyFill="1" applyBorder="1" applyAlignment="1">
      <alignment horizontal="center" vertical="center" wrapText="1"/>
      <protection/>
    </xf>
    <xf numFmtId="10" fontId="20" fillId="0" borderId="331" xfId="50" applyNumberFormat="1" applyFont="1" applyFill="1" applyBorder="1" applyAlignment="1">
      <alignment horizontal="center" vertical="center" wrapText="1"/>
      <protection/>
    </xf>
    <xf numFmtId="10" fontId="20" fillId="0" borderId="332" xfId="50" applyNumberFormat="1" applyFont="1" applyFill="1" applyBorder="1" applyAlignment="1">
      <alignment horizontal="center" vertical="center" wrapText="1"/>
      <protection/>
    </xf>
    <xf numFmtId="177" fontId="20" fillId="0" borderId="330" xfId="50" applyNumberFormat="1" applyFont="1" applyFill="1" applyBorder="1" applyAlignment="1">
      <alignment horizontal="center" vertical="center" wrapText="1"/>
      <protection/>
    </xf>
    <xf numFmtId="0" fontId="15" fillId="0" borderId="26" xfId="50" applyFont="1" applyFill="1" applyBorder="1" applyAlignment="1">
      <alignment horizontal="left" vertical="center"/>
      <protection/>
    </xf>
    <xf numFmtId="0" fontId="15" fillId="0" borderId="23" xfId="50" applyFont="1" applyFill="1" applyBorder="1" applyAlignment="1">
      <alignment horizontal="left" vertical="center"/>
      <protection/>
    </xf>
    <xf numFmtId="0" fontId="15" fillId="0" borderId="13" xfId="50" applyFont="1" applyFill="1" applyBorder="1" applyAlignment="1">
      <alignment horizontal="left" vertical="center"/>
      <protection/>
    </xf>
    <xf numFmtId="0" fontId="15" fillId="0" borderId="19" xfId="50" applyFont="1" applyFill="1" applyBorder="1" applyAlignment="1">
      <alignment horizontal="left" vertical="center"/>
      <protection/>
    </xf>
    <xf numFmtId="0" fontId="15" fillId="0" borderId="32" xfId="50" applyFont="1" applyFill="1" applyBorder="1" applyAlignment="1">
      <alignment horizontal="left" vertical="center"/>
      <protection/>
    </xf>
    <xf numFmtId="0" fontId="15" fillId="0" borderId="30" xfId="50" applyFont="1" applyFill="1" applyBorder="1" applyAlignment="1">
      <alignment horizontal="left" vertical="center"/>
      <protection/>
    </xf>
    <xf numFmtId="0" fontId="15" fillId="0" borderId="60" xfId="50" applyFont="1" applyFill="1" applyBorder="1" applyAlignment="1">
      <alignment horizontal="left" vertical="center"/>
      <protection/>
    </xf>
    <xf numFmtId="0" fontId="15" fillId="0" borderId="59" xfId="50" applyFont="1" applyFill="1" applyBorder="1" applyAlignment="1">
      <alignment horizontal="left" vertical="center"/>
      <protection/>
    </xf>
    <xf numFmtId="0" fontId="15" fillId="0" borderId="38" xfId="50" applyFont="1" applyFill="1" applyBorder="1" applyAlignment="1">
      <alignment horizontal="left" vertical="center"/>
      <protection/>
    </xf>
    <xf numFmtId="0" fontId="15" fillId="0" borderId="36" xfId="50" applyFont="1" applyFill="1" applyBorder="1" applyAlignment="1">
      <alignment horizontal="left" vertical="center"/>
      <protection/>
    </xf>
    <xf numFmtId="0" fontId="19" fillId="0" borderId="21" xfId="50" applyFont="1" applyFill="1" applyBorder="1" applyAlignment="1">
      <alignment horizontal="center" vertical="center"/>
      <protection/>
    </xf>
    <xf numFmtId="0" fontId="19" fillId="0" borderId="313" xfId="50" applyFont="1" applyFill="1" applyBorder="1" applyAlignment="1">
      <alignment horizontal="center" vertical="center"/>
      <protection/>
    </xf>
    <xf numFmtId="0" fontId="19" fillId="0" borderId="314" xfId="50" applyFont="1" applyFill="1" applyBorder="1" applyAlignment="1">
      <alignment horizontal="center" vertical="center"/>
      <protection/>
    </xf>
    <xf numFmtId="0" fontId="19" fillId="0" borderId="28" xfId="50" applyFont="1" applyFill="1" applyBorder="1" applyAlignment="1">
      <alignment horizontal="center" vertical="center"/>
      <protection/>
    </xf>
    <xf numFmtId="0" fontId="19" fillId="0" borderId="315" xfId="50" applyFont="1" applyFill="1" applyBorder="1" applyAlignment="1">
      <alignment horizontal="center" vertical="center"/>
      <protection/>
    </xf>
    <xf numFmtId="10" fontId="20" fillId="0" borderId="333" xfId="50" applyNumberFormat="1" applyFont="1" applyFill="1" applyBorder="1" applyAlignment="1">
      <alignment horizontal="center" vertical="center"/>
      <protection/>
    </xf>
    <xf numFmtId="10" fontId="20" fillId="0" borderId="331" xfId="50" applyNumberFormat="1" applyFont="1" applyFill="1" applyBorder="1" applyAlignment="1">
      <alignment horizontal="center" vertical="center"/>
      <protection/>
    </xf>
    <xf numFmtId="10" fontId="20" fillId="0" borderId="332" xfId="50" applyNumberFormat="1" applyFont="1" applyFill="1" applyBorder="1" applyAlignment="1">
      <alignment horizontal="center" vertical="center"/>
      <protection/>
    </xf>
    <xf numFmtId="10" fontId="20" fillId="0" borderId="334" xfId="50" applyNumberFormat="1" applyFont="1" applyFill="1" applyBorder="1" applyAlignment="1">
      <alignment horizontal="center" vertical="center"/>
      <protection/>
    </xf>
    <xf numFmtId="10" fontId="20" fillId="0" borderId="335" xfId="50" applyNumberFormat="1" applyFont="1" applyFill="1" applyBorder="1" applyAlignment="1">
      <alignment horizontal="center" vertical="center"/>
      <protection/>
    </xf>
    <xf numFmtId="0" fontId="19" fillId="0" borderId="41" xfId="50" applyFont="1" applyFill="1" applyBorder="1" applyAlignment="1">
      <alignment horizontal="center" vertical="center"/>
      <protection/>
    </xf>
    <xf numFmtId="0" fontId="19" fillId="0" borderId="55" xfId="50" applyFont="1" applyFill="1" applyBorder="1" applyAlignment="1">
      <alignment horizontal="center" vertical="center"/>
      <protection/>
    </xf>
    <xf numFmtId="0" fontId="19" fillId="0" borderId="181" xfId="50" applyFont="1" applyFill="1" applyBorder="1" applyAlignment="1">
      <alignment horizontal="center" vertical="center"/>
      <protection/>
    </xf>
    <xf numFmtId="10" fontId="20" fillId="0" borderId="328" xfId="50" applyNumberFormat="1" applyFont="1" applyFill="1" applyBorder="1" applyAlignment="1">
      <alignment horizontal="center" vertical="center"/>
      <protection/>
    </xf>
    <xf numFmtId="10" fontId="20" fillId="0" borderId="329" xfId="50" applyNumberFormat="1" applyFont="1" applyFill="1" applyBorder="1" applyAlignment="1">
      <alignment horizontal="center" vertical="center"/>
      <protection/>
    </xf>
    <xf numFmtId="10" fontId="20" fillId="0" borderId="330" xfId="50" applyNumberFormat="1" applyFont="1" applyFill="1" applyBorder="1" applyAlignment="1">
      <alignment horizontal="center" vertical="center"/>
      <protection/>
    </xf>
    <xf numFmtId="0" fontId="15" fillId="0" borderId="41" xfId="50" applyFont="1" applyFill="1" applyBorder="1" applyAlignment="1">
      <alignment horizontal="left" vertical="center" wrapText="1"/>
      <protection/>
    </xf>
    <xf numFmtId="0" fontId="15" fillId="0" borderId="42" xfId="50" applyFont="1" applyFill="1" applyBorder="1" applyAlignment="1">
      <alignment horizontal="left" vertical="center" wrapText="1"/>
      <protection/>
    </xf>
    <xf numFmtId="0" fontId="15" fillId="0" borderId="55" xfId="50" applyFont="1" applyFill="1" applyBorder="1" applyAlignment="1">
      <alignment horizontal="left" vertical="center" wrapText="1"/>
      <protection/>
    </xf>
    <xf numFmtId="0" fontId="15" fillId="0" borderId="0" xfId="50" applyFont="1" applyFill="1" applyBorder="1" applyAlignment="1">
      <alignment horizontal="left" vertical="center" wrapText="1"/>
      <protection/>
    </xf>
    <xf numFmtId="0" fontId="15" fillId="0" borderId="181" xfId="50" applyFont="1" applyFill="1" applyBorder="1" applyAlignment="1">
      <alignment horizontal="left" vertical="center" wrapText="1"/>
      <protection/>
    </xf>
    <xf numFmtId="0" fontId="15" fillId="0" borderId="182" xfId="50" applyFont="1" applyFill="1" applyBorder="1" applyAlignment="1">
      <alignment horizontal="left" vertical="center" wrapText="1"/>
      <protection/>
    </xf>
    <xf numFmtId="176" fontId="20" fillId="0" borderId="44" xfId="50" applyNumberFormat="1" applyFont="1" applyFill="1" applyBorder="1" applyAlignment="1">
      <alignment horizontal="center" vertical="center"/>
      <protection/>
    </xf>
    <xf numFmtId="176" fontId="20" fillId="0" borderId="157" xfId="50" applyNumberFormat="1" applyFont="1" applyFill="1" applyBorder="1" applyAlignment="1">
      <alignment horizontal="center" vertical="center"/>
      <protection/>
    </xf>
    <xf numFmtId="176" fontId="20" fillId="0" borderId="183" xfId="50" applyNumberFormat="1" applyFont="1" applyFill="1" applyBorder="1" applyAlignment="1">
      <alignment horizontal="center" vertical="center"/>
      <protection/>
    </xf>
    <xf numFmtId="0" fontId="15" fillId="0" borderId="26" xfId="50" applyFont="1" applyFill="1" applyBorder="1" applyAlignment="1">
      <alignment horizontal="left" vertical="center" wrapText="1"/>
      <protection/>
    </xf>
    <xf numFmtId="0" fontId="15" fillId="0" borderId="23" xfId="50" applyFont="1" applyFill="1" applyBorder="1" applyAlignment="1">
      <alignment horizontal="left" vertical="center" wrapText="1"/>
      <protection/>
    </xf>
    <xf numFmtId="0" fontId="19" fillId="0" borderId="21" xfId="50" applyFont="1" applyFill="1" applyBorder="1" applyAlignment="1">
      <alignment horizontal="center" vertical="center" wrapText="1"/>
      <protection/>
    </xf>
    <xf numFmtId="10" fontId="20" fillId="0" borderId="333" xfId="50" applyNumberFormat="1" applyFont="1" applyFill="1" applyBorder="1" applyAlignment="1">
      <alignment horizontal="center" vertical="center" wrapText="1"/>
      <protection/>
    </xf>
    <xf numFmtId="0" fontId="79" fillId="0" borderId="55" xfId="50" applyFill="1" applyBorder="1" applyAlignment="1">
      <alignment horizontal="left" vertical="center" wrapText="1"/>
      <protection/>
    </xf>
    <xf numFmtId="0" fontId="79" fillId="0" borderId="0" xfId="50" applyFill="1" applyBorder="1" applyAlignment="1">
      <alignment horizontal="left" vertical="center" wrapText="1"/>
      <protection/>
    </xf>
    <xf numFmtId="0" fontId="79" fillId="0" borderId="0" xfId="50" applyFill="1" applyBorder="1" applyAlignment="1">
      <alignment horizontal="center" vertical="center" wrapText="1"/>
      <protection/>
    </xf>
    <xf numFmtId="0" fontId="15" fillId="0" borderId="41" xfId="50" applyFont="1" applyFill="1" applyBorder="1" applyAlignment="1">
      <alignment horizontal="left" vertical="center"/>
      <protection/>
    </xf>
    <xf numFmtId="0" fontId="15" fillId="0" borderId="45" xfId="50" applyFont="1" applyFill="1" applyBorder="1" applyAlignment="1">
      <alignment horizontal="left" vertical="center"/>
      <protection/>
    </xf>
    <xf numFmtId="0" fontId="15" fillId="0" borderId="55" xfId="50" applyFont="1" applyFill="1" applyBorder="1" applyAlignment="1">
      <alignment horizontal="left" vertical="center"/>
      <protection/>
    </xf>
    <xf numFmtId="0" fontId="15" fillId="0" borderId="10" xfId="50" applyFont="1" applyFill="1" applyBorder="1" applyAlignment="1">
      <alignment horizontal="left" vertical="center"/>
      <protection/>
    </xf>
    <xf numFmtId="0" fontId="15" fillId="0" borderId="181" xfId="50" applyFont="1" applyFill="1" applyBorder="1" applyAlignment="1">
      <alignment horizontal="left" vertical="center"/>
      <protection/>
    </xf>
    <xf numFmtId="0" fontId="15" fillId="0" borderId="112" xfId="50" applyFont="1" applyFill="1" applyBorder="1" applyAlignment="1">
      <alignment horizontal="left" vertical="center"/>
      <protection/>
    </xf>
    <xf numFmtId="0" fontId="15" fillId="0" borderId="44" xfId="50" applyFont="1" applyFill="1" applyBorder="1" applyAlignment="1">
      <alignment horizontal="left" vertical="center" wrapText="1"/>
      <protection/>
    </xf>
    <xf numFmtId="0" fontId="15" fillId="0" borderId="157" xfId="50" applyFont="1" applyFill="1" applyBorder="1" applyAlignment="1">
      <alignment horizontal="left" vertical="center" wrapText="1"/>
      <protection/>
    </xf>
    <xf numFmtId="0" fontId="19" fillId="0" borderId="44" xfId="50" applyFont="1" applyFill="1" applyBorder="1" applyAlignment="1">
      <alignment horizontal="center" vertical="center" wrapText="1"/>
      <protection/>
    </xf>
    <xf numFmtId="0" fontId="19" fillId="0" borderId="183" xfId="50" applyFont="1" applyFill="1" applyBorder="1" applyAlignment="1">
      <alignment horizontal="center" vertical="center" wrapText="1"/>
      <protection/>
    </xf>
    <xf numFmtId="0" fontId="21" fillId="0" borderId="149" xfId="50" applyFont="1" applyBorder="1" applyAlignment="1">
      <alignment horizontal="center" vertical="center"/>
      <protection/>
    </xf>
    <xf numFmtId="0" fontId="21" fillId="0" borderId="65" xfId="50" applyFont="1" applyBorder="1" applyAlignment="1">
      <alignment horizontal="center" vertical="center"/>
      <protection/>
    </xf>
    <xf numFmtId="0" fontId="21" fillId="12" borderId="66" xfId="50" applyFont="1" applyFill="1" applyBorder="1" applyAlignment="1">
      <alignment horizontal="center" vertical="center" wrapText="1"/>
      <protection/>
    </xf>
    <xf numFmtId="0" fontId="15" fillId="12" borderId="68" xfId="50" applyFont="1" applyFill="1" applyBorder="1" applyAlignment="1">
      <alignment horizontal="center" vertical="center" wrapText="1"/>
      <protection/>
    </xf>
    <xf numFmtId="0" fontId="15" fillId="0" borderId="45" xfId="50" applyFont="1" applyFill="1" applyBorder="1" applyAlignment="1">
      <alignment horizontal="left" vertical="center" wrapText="1"/>
      <protection/>
    </xf>
    <xf numFmtId="0" fontId="15" fillId="0" borderId="10" xfId="50" applyFont="1" applyFill="1" applyBorder="1" applyAlignment="1">
      <alignment horizontal="left" vertical="center" wrapText="1"/>
      <protection/>
    </xf>
    <xf numFmtId="0" fontId="15" fillId="0" borderId="112" xfId="50" applyFont="1" applyFill="1" applyBorder="1" applyAlignment="1">
      <alignment horizontal="left" vertical="center" wrapText="1"/>
      <protection/>
    </xf>
    <xf numFmtId="0" fontId="20" fillId="0" borderId="328" xfId="50" applyFont="1" applyBorder="1" applyAlignment="1">
      <alignment horizontal="center" vertical="center" wrapText="1"/>
      <protection/>
    </xf>
    <xf numFmtId="0" fontId="20" fillId="0" borderId="330" xfId="50" applyFont="1" applyBorder="1" applyAlignment="1">
      <alignment horizontal="center" vertical="center" wrapText="1"/>
      <protection/>
    </xf>
    <xf numFmtId="0" fontId="20" fillId="0" borderId="44" xfId="50" applyFont="1" applyBorder="1" applyAlignment="1">
      <alignment horizontal="center" vertical="center" wrapText="1"/>
      <protection/>
    </xf>
    <xf numFmtId="0" fontId="20" fillId="0" borderId="183" xfId="50" applyFont="1" applyBorder="1" applyAlignment="1">
      <alignment horizontal="center" vertical="center" wrapText="1"/>
      <protection/>
    </xf>
    <xf numFmtId="0" fontId="19" fillId="0" borderId="12" xfId="50" applyFont="1" applyFill="1" applyBorder="1" applyAlignment="1">
      <alignment horizontal="center" vertical="center" wrapText="1"/>
      <protection/>
    </xf>
    <xf numFmtId="0" fontId="19" fillId="0" borderId="149" xfId="50" applyFont="1" applyFill="1" applyBorder="1" applyAlignment="1">
      <alignment horizontal="center" vertical="center"/>
      <protection/>
    </xf>
    <xf numFmtId="0" fontId="19" fillId="0" borderId="65" xfId="50" applyFont="1" applyFill="1" applyBorder="1" applyAlignment="1">
      <alignment horizontal="center" vertical="center"/>
      <protection/>
    </xf>
    <xf numFmtId="0" fontId="19" fillId="0" borderId="65" xfId="50" applyFont="1" applyFill="1" applyBorder="1" applyAlignment="1">
      <alignment horizontal="center" vertical="center" wrapText="1"/>
      <protection/>
    </xf>
    <xf numFmtId="0" fontId="70" fillId="0" borderId="44" xfId="50" applyFont="1" applyBorder="1" applyAlignment="1">
      <alignment horizontal="center" vertical="center"/>
      <protection/>
    </xf>
    <xf numFmtId="0" fontId="71" fillId="0" borderId="41" xfId="50" applyFont="1" applyBorder="1" applyAlignment="1">
      <alignment horizontal="center" vertical="center"/>
      <protection/>
    </xf>
    <xf numFmtId="0" fontId="71" fillId="0" borderId="183" xfId="50" applyFont="1" applyBorder="1" applyAlignment="1">
      <alignment horizontal="center" vertical="center"/>
      <protection/>
    </xf>
    <xf numFmtId="0" fontId="71" fillId="0" borderId="181" xfId="50" applyFont="1" applyBorder="1" applyAlignment="1">
      <alignment horizontal="center" vertical="center"/>
      <protection/>
    </xf>
    <xf numFmtId="0" fontId="19" fillId="0" borderId="41" xfId="50" applyFont="1" applyBorder="1" applyAlignment="1">
      <alignment horizontal="center" vertical="center" wrapText="1"/>
      <protection/>
    </xf>
    <xf numFmtId="0" fontId="19" fillId="0" borderId="181" xfId="50" applyFont="1" applyBorder="1" applyAlignment="1">
      <alignment horizontal="center" vertical="center" wrapText="1"/>
      <protection/>
    </xf>
    <xf numFmtId="177" fontId="20" fillId="0" borderId="328" xfId="0" applyNumberFormat="1" applyFont="1" applyBorder="1" applyAlignment="1">
      <alignment horizontal="center" vertical="center" wrapText="1"/>
    </xf>
    <xf numFmtId="177" fontId="20" fillId="0" borderId="329" xfId="0" applyNumberFormat="1" applyFont="1" applyBorder="1" applyAlignment="1">
      <alignment horizontal="center" vertical="center" wrapText="1"/>
    </xf>
    <xf numFmtId="176" fontId="20" fillId="0" borderId="44" xfId="0" applyNumberFormat="1" applyFont="1" applyBorder="1" applyAlignment="1">
      <alignment horizontal="center" vertical="center" wrapText="1"/>
    </xf>
    <xf numFmtId="176" fontId="20" fillId="0" borderId="157" xfId="0" applyNumberFormat="1" applyFont="1" applyBorder="1" applyAlignment="1">
      <alignment horizontal="center" vertical="center" wrapText="1"/>
    </xf>
    <xf numFmtId="176" fontId="20" fillId="0" borderId="183" xfId="0" applyNumberFormat="1" applyFont="1" applyBorder="1" applyAlignment="1">
      <alignment horizontal="center" vertical="center" wrapText="1"/>
    </xf>
    <xf numFmtId="0" fontId="24" fillId="0" borderId="216" xfId="0" applyFont="1" applyBorder="1" applyAlignment="1">
      <alignment horizontal="center" vertical="center"/>
    </xf>
    <xf numFmtId="0" fontId="24" fillId="0" borderId="221" xfId="0" applyFont="1" applyBorder="1" applyAlignment="1">
      <alignment horizontal="center" vertical="center"/>
    </xf>
    <xf numFmtId="0" fontId="30" fillId="0" borderId="291" xfId="0" applyFont="1" applyBorder="1" applyAlignment="1">
      <alignment/>
    </xf>
    <xf numFmtId="0" fontId="15" fillId="0" borderId="97" xfId="0" applyFont="1" applyBorder="1" applyAlignment="1">
      <alignment/>
    </xf>
    <xf numFmtId="0" fontId="15" fillId="0" borderId="48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19" fillId="0" borderId="149" xfId="0" applyFont="1" applyBorder="1" applyAlignment="1">
      <alignment horizontal="center" vertical="center" wrapText="1"/>
    </xf>
    <xf numFmtId="10" fontId="20" fillId="0" borderId="265" xfId="0" applyNumberFormat="1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10" fontId="20" fillId="0" borderId="328" xfId="0" applyNumberFormat="1" applyFont="1" applyBorder="1" applyAlignment="1">
      <alignment horizontal="center" vertical="center" wrapText="1"/>
    </xf>
    <xf numFmtId="10" fontId="20" fillId="0" borderId="329" xfId="0" applyNumberFormat="1" applyFont="1" applyBorder="1" applyAlignment="1">
      <alignment horizontal="center" vertical="center" wrapText="1"/>
    </xf>
    <xf numFmtId="10" fontId="20" fillId="0" borderId="330" xfId="0" applyNumberFormat="1" applyFont="1" applyBorder="1" applyAlignment="1">
      <alignment horizontal="center" vertical="center" wrapText="1"/>
    </xf>
    <xf numFmtId="176" fontId="19" fillId="0" borderId="41" xfId="0" applyNumberFormat="1" applyFont="1" applyBorder="1" applyAlignment="1">
      <alignment horizontal="center" vertical="center"/>
    </xf>
    <xf numFmtId="176" fontId="19" fillId="0" borderId="55" xfId="0" applyNumberFormat="1" applyFont="1" applyBorder="1" applyAlignment="1">
      <alignment horizontal="center" vertical="center"/>
    </xf>
    <xf numFmtId="176" fontId="19" fillId="0" borderId="181" xfId="0" applyNumberFormat="1" applyFont="1" applyBorder="1" applyAlignment="1">
      <alignment horizontal="center" vertical="center"/>
    </xf>
    <xf numFmtId="177" fontId="20" fillId="0" borderId="328" xfId="0" applyNumberFormat="1" applyFont="1" applyBorder="1" applyAlignment="1">
      <alignment horizontal="center" vertical="center"/>
    </xf>
    <xf numFmtId="177" fontId="20" fillId="0" borderId="329" xfId="0" applyNumberFormat="1" applyFont="1" applyBorder="1" applyAlignment="1">
      <alignment horizontal="center" vertical="center"/>
    </xf>
    <xf numFmtId="177" fontId="20" fillId="0" borderId="330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9" fillId="0" borderId="313" xfId="0" applyFont="1" applyBorder="1" applyAlignment="1">
      <alignment horizontal="center" vertical="center" wrapText="1"/>
    </xf>
    <xf numFmtId="0" fontId="19" fillId="0" borderId="314" xfId="0" applyFont="1" applyBorder="1" applyAlignment="1">
      <alignment horizontal="center" vertical="center" wrapText="1"/>
    </xf>
    <xf numFmtId="10" fontId="20" fillId="0" borderId="331" xfId="0" applyNumberFormat="1" applyFont="1" applyBorder="1" applyAlignment="1">
      <alignment horizontal="center" vertical="center" wrapText="1"/>
    </xf>
    <xf numFmtId="10" fontId="20" fillId="0" borderId="332" xfId="0" applyNumberFormat="1" applyFont="1" applyBorder="1" applyAlignment="1">
      <alignment horizontal="center" vertical="center" wrapText="1"/>
    </xf>
    <xf numFmtId="177" fontId="20" fillId="0" borderId="330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60" xfId="0" applyFont="1" applyBorder="1" applyAlignment="1">
      <alignment horizontal="left" vertical="center"/>
    </xf>
    <xf numFmtId="0" fontId="15" fillId="0" borderId="59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9" fillId="0" borderId="21" xfId="0" applyFont="1" applyBorder="1" applyAlignment="1">
      <alignment horizontal="center" vertical="center"/>
    </xf>
    <xf numFmtId="0" fontId="19" fillId="0" borderId="313" xfId="0" applyFont="1" applyBorder="1" applyAlignment="1">
      <alignment horizontal="center" vertical="center"/>
    </xf>
    <xf numFmtId="0" fontId="19" fillId="0" borderId="314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315" xfId="0" applyFont="1" applyBorder="1" applyAlignment="1">
      <alignment horizontal="center" vertical="center"/>
    </xf>
    <xf numFmtId="10" fontId="20" fillId="0" borderId="333" xfId="0" applyNumberFormat="1" applyFont="1" applyBorder="1" applyAlignment="1">
      <alignment horizontal="center" vertical="center"/>
    </xf>
    <xf numFmtId="10" fontId="20" fillId="0" borderId="331" xfId="0" applyNumberFormat="1" applyFont="1" applyBorder="1" applyAlignment="1">
      <alignment horizontal="center" vertical="center"/>
    </xf>
    <xf numFmtId="10" fontId="20" fillId="0" borderId="332" xfId="0" applyNumberFormat="1" applyFont="1" applyBorder="1" applyAlignment="1">
      <alignment horizontal="center" vertical="center"/>
    </xf>
    <xf numFmtId="10" fontId="20" fillId="0" borderId="334" xfId="0" applyNumberFormat="1" applyFont="1" applyBorder="1" applyAlignment="1">
      <alignment horizontal="center" vertical="center"/>
    </xf>
    <xf numFmtId="10" fontId="20" fillId="0" borderId="335" xfId="0" applyNumberFormat="1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181" xfId="0" applyFont="1" applyBorder="1" applyAlignment="1">
      <alignment horizontal="center" vertical="center"/>
    </xf>
    <xf numFmtId="10" fontId="20" fillId="0" borderId="328" xfId="0" applyNumberFormat="1" applyFont="1" applyBorder="1" applyAlignment="1">
      <alignment horizontal="center" vertical="center"/>
    </xf>
    <xf numFmtId="10" fontId="20" fillId="0" borderId="329" xfId="0" applyNumberFormat="1" applyFont="1" applyBorder="1" applyAlignment="1">
      <alignment horizontal="center" vertical="center"/>
    </xf>
    <xf numFmtId="10" fontId="20" fillId="0" borderId="330" xfId="0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55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81" xfId="0" applyFont="1" applyBorder="1" applyAlignment="1">
      <alignment horizontal="left" vertical="center" wrapText="1"/>
    </xf>
    <xf numFmtId="0" fontId="15" fillId="0" borderId="182" xfId="0" applyFont="1" applyBorder="1" applyAlignment="1">
      <alignment horizontal="left" vertical="center" wrapText="1"/>
    </xf>
    <xf numFmtId="176" fontId="20" fillId="0" borderId="44" xfId="0" applyNumberFormat="1" applyFont="1" applyBorder="1" applyAlignment="1">
      <alignment horizontal="center" vertical="center"/>
    </xf>
    <xf numFmtId="176" fontId="20" fillId="0" borderId="157" xfId="0" applyNumberFormat="1" applyFont="1" applyBorder="1" applyAlignment="1">
      <alignment horizontal="center" vertical="center"/>
    </xf>
    <xf numFmtId="176" fontId="20" fillId="0" borderId="183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center" wrapText="1"/>
    </xf>
    <xf numFmtId="10" fontId="20" fillId="0" borderId="333" xfId="0" applyNumberFormat="1" applyFont="1" applyBorder="1" applyAlignment="1">
      <alignment horizontal="center" vertical="center" wrapText="1"/>
    </xf>
    <xf numFmtId="0" fontId="15" fillId="0" borderId="41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15" fillId="0" borderId="55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81" xfId="0" applyFont="1" applyBorder="1" applyAlignment="1">
      <alignment horizontal="left" vertical="center"/>
    </xf>
    <xf numFmtId="0" fontId="15" fillId="0" borderId="112" xfId="0" applyFont="1" applyBorder="1" applyAlignment="1">
      <alignment horizontal="left" vertical="center"/>
    </xf>
    <xf numFmtId="0" fontId="15" fillId="0" borderId="44" xfId="0" applyFont="1" applyBorder="1" applyAlignment="1">
      <alignment horizontal="left" vertical="center" wrapText="1"/>
    </xf>
    <xf numFmtId="0" fontId="15" fillId="0" borderId="157" xfId="0" applyFont="1" applyBorder="1" applyAlignment="1">
      <alignment horizontal="left" vertical="center" wrapText="1"/>
    </xf>
    <xf numFmtId="10" fontId="20" fillId="46" borderId="329" xfId="0" applyNumberFormat="1" applyFont="1" applyFill="1" applyBorder="1" applyAlignment="1">
      <alignment horizontal="center" vertical="center" wrapText="1"/>
    </xf>
    <xf numFmtId="0" fontId="19" fillId="43" borderId="41" xfId="0" applyFont="1" applyFill="1" applyBorder="1" applyAlignment="1">
      <alignment horizontal="center" vertical="center" wrapText="1"/>
    </xf>
    <xf numFmtId="0" fontId="19" fillId="43" borderId="181" xfId="0" applyFont="1" applyFill="1" applyBorder="1" applyAlignment="1">
      <alignment horizontal="center" vertical="center" wrapText="1"/>
    </xf>
    <xf numFmtId="0" fontId="19" fillId="43" borderId="44" xfId="0" applyFont="1" applyFill="1" applyBorder="1" applyAlignment="1">
      <alignment horizontal="center" vertical="center" wrapText="1"/>
    </xf>
    <xf numFmtId="0" fontId="19" fillId="43" borderId="183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2" xfId="0" applyFont="1" applyBorder="1" applyAlignment="1">
      <alignment horizontal="left" vertical="center" wrapText="1"/>
    </xf>
    <xf numFmtId="1" fontId="19" fillId="0" borderId="41" xfId="0" applyNumberFormat="1" applyFont="1" applyBorder="1" applyAlignment="1">
      <alignment horizontal="center" vertical="center" wrapText="1"/>
    </xf>
    <xf numFmtId="0" fontId="20" fillId="0" borderId="328" xfId="0" applyFont="1" applyBorder="1" applyAlignment="1">
      <alignment horizontal="center" vertical="center" wrapText="1"/>
    </xf>
    <xf numFmtId="0" fontId="20" fillId="0" borderId="330" xfId="0" applyFont="1" applyBorder="1" applyAlignment="1">
      <alignment horizontal="center" vertical="center" wrapText="1"/>
    </xf>
    <xf numFmtId="0" fontId="19" fillId="43" borderId="149" xfId="0" applyFont="1" applyFill="1" applyBorder="1" applyAlignment="1">
      <alignment horizontal="center" vertical="center" wrapText="1"/>
    </xf>
    <xf numFmtId="0" fontId="19" fillId="43" borderId="12" xfId="0" applyFont="1" applyFill="1" applyBorder="1" applyAlignment="1">
      <alignment horizontal="center" vertical="center" wrapText="1"/>
    </xf>
    <xf numFmtId="0" fontId="19" fillId="43" borderId="44" xfId="50" applyFont="1" applyFill="1" applyBorder="1" applyAlignment="1">
      <alignment horizontal="center" vertical="center" wrapText="1"/>
      <protection/>
    </xf>
    <xf numFmtId="0" fontId="19" fillId="43" borderId="183" xfId="50" applyFont="1" applyFill="1" applyBorder="1" applyAlignment="1">
      <alignment horizontal="center" vertical="center" wrapText="1"/>
      <protection/>
    </xf>
    <xf numFmtId="0" fontId="19" fillId="43" borderId="45" xfId="50" applyFont="1" applyFill="1" applyBorder="1" applyAlignment="1">
      <alignment horizontal="center" vertical="center" wrapText="1"/>
      <protection/>
    </xf>
    <xf numFmtId="0" fontId="19" fillId="43" borderId="112" xfId="50" applyFont="1" applyFill="1" applyBorder="1" applyAlignment="1">
      <alignment horizontal="center" vertical="center" wrapText="1"/>
      <protection/>
    </xf>
    <xf numFmtId="0" fontId="19" fillId="43" borderId="41" xfId="50" applyFont="1" applyFill="1" applyBorder="1" applyAlignment="1">
      <alignment horizontal="center" vertical="center" wrapText="1"/>
      <protection/>
    </xf>
    <xf numFmtId="0" fontId="19" fillId="43" borderId="181" xfId="50" applyFont="1" applyFill="1" applyBorder="1" applyAlignment="1">
      <alignment horizontal="center" vertical="center" wrapText="1"/>
      <protection/>
    </xf>
    <xf numFmtId="0" fontId="19" fillId="43" borderId="149" xfId="50" applyFont="1" applyFill="1" applyBorder="1" applyAlignment="1">
      <alignment horizontal="center" vertical="center" wrapText="1"/>
      <protection/>
    </xf>
    <xf numFmtId="0" fontId="19" fillId="43" borderId="12" xfId="50" applyFont="1" applyFill="1" applyBorder="1" applyAlignment="1">
      <alignment horizontal="center" vertical="center" wrapText="1"/>
      <protection/>
    </xf>
    <xf numFmtId="0" fontId="19" fillId="43" borderId="44" xfId="50" applyFont="1" applyFill="1" applyBorder="1" applyAlignment="1">
      <alignment horizontal="center" vertical="center"/>
      <protection/>
    </xf>
    <xf numFmtId="0" fontId="19" fillId="43" borderId="183" xfId="50" applyFont="1" applyFill="1" applyBorder="1" applyAlignment="1">
      <alignment horizontal="center" vertical="center"/>
      <protection/>
    </xf>
    <xf numFmtId="0" fontId="19" fillId="0" borderId="55" xfId="50" applyFont="1" applyBorder="1" applyAlignment="1">
      <alignment horizontal="center" vertical="center" wrapText="1"/>
      <protection/>
    </xf>
    <xf numFmtId="10" fontId="20" fillId="0" borderId="328" xfId="50" applyNumberFormat="1" applyFont="1" applyBorder="1" applyAlignment="1">
      <alignment horizontal="center" vertical="center" wrapText="1"/>
      <protection/>
    </xf>
    <xf numFmtId="10" fontId="20" fillId="0" borderId="329" xfId="50" applyNumberFormat="1" applyFont="1" applyBorder="1" applyAlignment="1">
      <alignment horizontal="center" vertical="center" wrapText="1"/>
      <protection/>
    </xf>
    <xf numFmtId="10" fontId="20" fillId="0" borderId="330" xfId="50" applyNumberFormat="1" applyFont="1" applyBorder="1" applyAlignment="1">
      <alignment horizontal="center" vertical="center" wrapText="1"/>
      <protection/>
    </xf>
    <xf numFmtId="1" fontId="19" fillId="0" borderId="41" xfId="50" applyNumberFormat="1" applyFont="1" applyBorder="1" applyAlignment="1">
      <alignment horizontal="center" vertical="center" wrapText="1"/>
      <protection/>
    </xf>
    <xf numFmtId="174" fontId="19" fillId="0" borderId="41" xfId="50" applyNumberFormat="1" applyFont="1" applyBorder="1" applyAlignment="1">
      <alignment horizontal="center" vertical="center"/>
      <protection/>
    </xf>
    <xf numFmtId="176" fontId="19" fillId="0" borderId="55" xfId="50" applyNumberFormat="1" applyFont="1" applyBorder="1" applyAlignment="1">
      <alignment horizontal="center" vertical="center"/>
      <protection/>
    </xf>
    <xf numFmtId="176" fontId="19" fillId="0" borderId="181" xfId="50" applyNumberFormat="1" applyFont="1" applyBorder="1" applyAlignment="1">
      <alignment horizontal="center" vertical="center"/>
      <protection/>
    </xf>
    <xf numFmtId="177" fontId="20" fillId="0" borderId="328" xfId="50" applyNumberFormat="1" applyFont="1" applyBorder="1" applyAlignment="1">
      <alignment horizontal="center" vertical="center" wrapText="1"/>
      <protection/>
    </xf>
    <xf numFmtId="177" fontId="20" fillId="0" borderId="329" xfId="50" applyNumberFormat="1" applyFont="1" applyBorder="1" applyAlignment="1">
      <alignment horizontal="center" vertical="center" wrapText="1"/>
      <protection/>
    </xf>
    <xf numFmtId="177" fontId="20" fillId="0" borderId="330" xfId="50" applyNumberFormat="1" applyFont="1" applyBorder="1" applyAlignment="1">
      <alignment horizontal="center" vertical="center" wrapText="1"/>
      <protection/>
    </xf>
    <xf numFmtId="176" fontId="20" fillId="0" borderId="44" xfId="50" applyNumberFormat="1" applyFont="1" applyBorder="1" applyAlignment="1">
      <alignment horizontal="center" vertical="center" wrapText="1"/>
      <protection/>
    </xf>
    <xf numFmtId="176" fontId="20" fillId="0" borderId="157" xfId="50" applyNumberFormat="1" applyFont="1" applyBorder="1" applyAlignment="1">
      <alignment horizontal="center" vertical="center" wrapText="1"/>
      <protection/>
    </xf>
    <xf numFmtId="176" fontId="20" fillId="0" borderId="183" xfId="50" applyNumberFormat="1" applyFont="1" applyBorder="1" applyAlignment="1">
      <alignment horizontal="center" vertical="center" wrapText="1"/>
      <protection/>
    </xf>
    <xf numFmtId="0" fontId="15" fillId="0" borderId="55" xfId="50" applyFont="1" applyBorder="1" applyAlignment="1">
      <alignment horizontal="left" vertical="center" wrapText="1"/>
      <protection/>
    </xf>
    <xf numFmtId="0" fontId="15" fillId="0" borderId="0" xfId="50" applyFont="1" applyAlignment="1">
      <alignment horizontal="left" vertical="center" wrapText="1"/>
      <protection/>
    </xf>
    <xf numFmtId="0" fontId="19" fillId="0" borderId="41" xfId="50" applyNumberFormat="1" applyFont="1" applyBorder="1" applyAlignment="1">
      <alignment horizontal="center" vertical="center"/>
      <protection/>
    </xf>
    <xf numFmtId="0" fontId="15" fillId="0" borderId="41" xfId="50" applyFont="1" applyBorder="1" applyAlignment="1">
      <alignment horizontal="left" vertical="center" wrapText="1"/>
      <protection/>
    </xf>
    <xf numFmtId="0" fontId="15" fillId="0" borderId="42" xfId="50" applyFont="1" applyBorder="1" applyAlignment="1">
      <alignment horizontal="left" vertical="center" wrapText="1"/>
      <protection/>
    </xf>
    <xf numFmtId="0" fontId="15" fillId="0" borderId="181" xfId="50" applyFont="1" applyBorder="1" applyAlignment="1">
      <alignment horizontal="left" vertical="center" wrapText="1"/>
      <protection/>
    </xf>
    <xf numFmtId="0" fontId="15" fillId="0" borderId="182" xfId="50" applyFont="1" applyBorder="1" applyAlignment="1">
      <alignment horizontal="left" vertical="center" wrapText="1"/>
      <protection/>
    </xf>
    <xf numFmtId="0" fontId="20" fillId="0" borderId="44" xfId="50" applyNumberFormat="1" applyFont="1" applyBorder="1" applyAlignment="1">
      <alignment horizontal="center" vertical="center" wrapText="1"/>
      <protection/>
    </xf>
    <xf numFmtId="0" fontId="19" fillId="0" borderId="41" xfId="50" applyFont="1" applyBorder="1" applyAlignment="1">
      <alignment horizontal="center" vertical="center"/>
      <protection/>
    </xf>
    <xf numFmtId="0" fontId="19" fillId="0" borderId="55" xfId="50" applyFont="1" applyBorder="1" applyAlignment="1">
      <alignment horizontal="center" vertical="center"/>
      <protection/>
    </xf>
    <xf numFmtId="0" fontId="19" fillId="0" borderId="181" xfId="50" applyFont="1" applyBorder="1" applyAlignment="1">
      <alignment horizontal="center" vertical="center"/>
      <protection/>
    </xf>
    <xf numFmtId="176" fontId="19" fillId="0" borderId="41" xfId="50" applyNumberFormat="1" applyFont="1" applyBorder="1" applyAlignment="1">
      <alignment horizontal="center" vertical="center"/>
      <protection/>
    </xf>
    <xf numFmtId="0" fontId="15" fillId="0" borderId="44" xfId="50" applyFont="1" applyBorder="1" applyAlignment="1">
      <alignment horizontal="left" vertical="center" wrapText="1"/>
      <protection/>
    </xf>
    <xf numFmtId="0" fontId="15" fillId="0" borderId="157" xfId="50" applyFont="1" applyBorder="1" applyAlignment="1">
      <alignment horizontal="left" vertical="center" wrapText="1"/>
      <protection/>
    </xf>
    <xf numFmtId="0" fontId="15" fillId="0" borderId="41" xfId="50" applyFont="1" applyBorder="1" applyAlignment="1">
      <alignment horizontal="left" vertical="center"/>
      <protection/>
    </xf>
    <xf numFmtId="0" fontId="15" fillId="0" borderId="45" xfId="50" applyFont="1" applyBorder="1" applyAlignment="1">
      <alignment horizontal="left" vertical="center"/>
      <protection/>
    </xf>
    <xf numFmtId="0" fontId="15" fillId="0" borderId="55" xfId="50" applyFont="1" applyBorder="1" applyAlignment="1">
      <alignment horizontal="left" vertical="center"/>
      <protection/>
    </xf>
    <xf numFmtId="0" fontId="15" fillId="0" borderId="10" xfId="50" applyFont="1" applyBorder="1" applyAlignment="1">
      <alignment horizontal="left" vertical="center"/>
      <protection/>
    </xf>
    <xf numFmtId="0" fontId="15" fillId="0" borderId="0" xfId="50" applyFont="1" applyFill="1" applyAlignment="1">
      <alignment horizontal="left" vertical="center" wrapText="1"/>
      <protection/>
    </xf>
    <xf numFmtId="0" fontId="15" fillId="0" borderId="26" xfId="50" applyFont="1" applyBorder="1" applyAlignment="1">
      <alignment horizontal="left" vertical="center" wrapText="1"/>
      <protection/>
    </xf>
    <xf numFmtId="0" fontId="15" fillId="0" borderId="23" xfId="50" applyFont="1" applyBorder="1" applyAlignment="1">
      <alignment horizontal="left" vertical="center" wrapText="1"/>
      <protection/>
    </xf>
    <xf numFmtId="0" fontId="15" fillId="0" borderId="13" xfId="50" applyFont="1" applyBorder="1" applyAlignment="1">
      <alignment horizontal="left" vertical="center" wrapText="1"/>
      <protection/>
    </xf>
    <xf numFmtId="0" fontId="15" fillId="0" borderId="19" xfId="50" applyFont="1" applyBorder="1" applyAlignment="1">
      <alignment horizontal="left" vertical="center" wrapText="1"/>
      <protection/>
    </xf>
    <xf numFmtId="0" fontId="19" fillId="0" borderId="21" xfId="50" applyFont="1" applyBorder="1" applyAlignment="1">
      <alignment horizontal="center" vertical="center" wrapText="1"/>
      <protection/>
    </xf>
    <xf numFmtId="0" fontId="19" fillId="0" borderId="313" xfId="50" applyFont="1" applyBorder="1" applyAlignment="1">
      <alignment horizontal="center" vertical="center" wrapText="1"/>
      <protection/>
    </xf>
    <xf numFmtId="10" fontId="20" fillId="0" borderId="333" xfId="50" applyNumberFormat="1" applyFont="1" applyBorder="1" applyAlignment="1">
      <alignment horizontal="center" vertical="center" wrapText="1"/>
      <protection/>
    </xf>
    <xf numFmtId="10" fontId="20" fillId="0" borderId="331" xfId="50" applyNumberFormat="1" applyFont="1" applyBorder="1" applyAlignment="1">
      <alignment horizontal="center" vertical="center" wrapText="1"/>
      <protection/>
    </xf>
    <xf numFmtId="176" fontId="20" fillId="0" borderId="44" xfId="50" applyNumberFormat="1" applyFont="1" applyBorder="1" applyAlignment="1">
      <alignment horizontal="center" vertical="center"/>
      <protection/>
    </xf>
    <xf numFmtId="176" fontId="20" fillId="0" borderId="157" xfId="50" applyNumberFormat="1" applyFont="1" applyBorder="1" applyAlignment="1">
      <alignment horizontal="center" vertical="center"/>
      <protection/>
    </xf>
    <xf numFmtId="176" fontId="20" fillId="0" borderId="183" xfId="50" applyNumberFormat="1" applyFont="1" applyBorder="1" applyAlignment="1">
      <alignment horizontal="center" vertical="center"/>
      <protection/>
    </xf>
    <xf numFmtId="0" fontId="15" fillId="0" borderId="26" xfId="50" applyFont="1" applyBorder="1" applyAlignment="1">
      <alignment horizontal="left" vertical="center"/>
      <protection/>
    </xf>
    <xf numFmtId="0" fontId="15" fillId="0" borderId="23" xfId="50" applyFont="1" applyBorder="1" applyAlignment="1">
      <alignment horizontal="left" vertical="center"/>
      <protection/>
    </xf>
    <xf numFmtId="0" fontId="15" fillId="0" borderId="13" xfId="50" applyFont="1" applyBorder="1" applyAlignment="1">
      <alignment horizontal="left" vertical="center"/>
      <protection/>
    </xf>
    <xf numFmtId="0" fontId="15" fillId="0" borderId="19" xfId="50" applyFont="1" applyBorder="1" applyAlignment="1">
      <alignment horizontal="left" vertical="center"/>
      <protection/>
    </xf>
    <xf numFmtId="0" fontId="15" fillId="0" borderId="32" xfId="50" applyFont="1" applyBorder="1" applyAlignment="1">
      <alignment horizontal="left" vertical="center"/>
      <protection/>
    </xf>
    <xf numFmtId="0" fontId="15" fillId="0" borderId="30" xfId="50" applyFont="1" applyBorder="1" applyAlignment="1">
      <alignment horizontal="left" vertical="center"/>
      <protection/>
    </xf>
    <xf numFmtId="0" fontId="15" fillId="0" borderId="60" xfId="50" applyFont="1" applyBorder="1" applyAlignment="1">
      <alignment horizontal="left" vertical="center"/>
      <protection/>
    </xf>
    <xf numFmtId="0" fontId="15" fillId="0" borderId="59" xfId="50" applyFont="1" applyBorder="1" applyAlignment="1">
      <alignment horizontal="left" vertical="center"/>
      <protection/>
    </xf>
    <xf numFmtId="0" fontId="15" fillId="0" borderId="38" xfId="50" applyFont="1" applyBorder="1" applyAlignment="1">
      <alignment horizontal="left" vertical="center"/>
      <protection/>
    </xf>
    <xf numFmtId="0" fontId="15" fillId="0" borderId="36" xfId="50" applyFont="1" applyBorder="1" applyAlignment="1">
      <alignment horizontal="left" vertical="center"/>
      <protection/>
    </xf>
    <xf numFmtId="0" fontId="19" fillId="0" borderId="21" xfId="50" applyFont="1" applyBorder="1" applyAlignment="1">
      <alignment horizontal="center" vertical="center"/>
      <protection/>
    </xf>
    <xf numFmtId="0" fontId="19" fillId="0" borderId="313" xfId="50" applyFont="1" applyBorder="1" applyAlignment="1">
      <alignment horizontal="center" vertical="center"/>
      <protection/>
    </xf>
    <xf numFmtId="0" fontId="19" fillId="0" borderId="314" xfId="50" applyFont="1" applyBorder="1" applyAlignment="1">
      <alignment horizontal="center" vertical="center"/>
      <protection/>
    </xf>
    <xf numFmtId="0" fontId="19" fillId="0" borderId="28" xfId="50" applyFont="1" applyBorder="1" applyAlignment="1">
      <alignment horizontal="center" vertical="center"/>
      <protection/>
    </xf>
    <xf numFmtId="0" fontId="19" fillId="0" borderId="315" xfId="50" applyFont="1" applyBorder="1" applyAlignment="1">
      <alignment horizontal="center" vertical="center"/>
      <protection/>
    </xf>
    <xf numFmtId="10" fontId="20" fillId="0" borderId="333" xfId="50" applyNumberFormat="1" applyFont="1" applyBorder="1" applyAlignment="1">
      <alignment horizontal="center" vertical="center"/>
      <protection/>
    </xf>
    <xf numFmtId="10" fontId="20" fillId="0" borderId="331" xfId="50" applyNumberFormat="1" applyFont="1" applyBorder="1" applyAlignment="1">
      <alignment horizontal="center" vertical="center"/>
      <protection/>
    </xf>
    <xf numFmtId="10" fontId="20" fillId="0" borderId="332" xfId="50" applyNumberFormat="1" applyFont="1" applyBorder="1" applyAlignment="1">
      <alignment horizontal="center" vertical="center"/>
      <protection/>
    </xf>
    <xf numFmtId="10" fontId="20" fillId="0" borderId="334" xfId="50" applyNumberFormat="1" applyFont="1" applyBorder="1" applyAlignment="1">
      <alignment horizontal="center" vertical="center"/>
      <protection/>
    </xf>
    <xf numFmtId="10" fontId="20" fillId="0" borderId="335" xfId="50" applyNumberFormat="1" applyFont="1" applyBorder="1" applyAlignment="1">
      <alignment horizontal="center" vertical="center"/>
      <protection/>
    </xf>
    <xf numFmtId="10" fontId="20" fillId="0" borderId="328" xfId="50" applyNumberFormat="1" applyFont="1" applyBorder="1" applyAlignment="1">
      <alignment horizontal="center" vertical="center"/>
      <protection/>
    </xf>
    <xf numFmtId="10" fontId="20" fillId="0" borderId="329" xfId="50" applyNumberFormat="1" applyFont="1" applyBorder="1" applyAlignment="1">
      <alignment horizontal="center" vertical="center"/>
      <protection/>
    </xf>
    <xf numFmtId="10" fontId="20" fillId="0" borderId="330" xfId="50" applyNumberFormat="1" applyFont="1" applyBorder="1" applyAlignment="1">
      <alignment horizontal="center" vertical="center"/>
      <protection/>
    </xf>
    <xf numFmtId="177" fontId="20" fillId="0" borderId="328" xfId="50" applyNumberFormat="1" applyFont="1" applyBorder="1" applyAlignment="1">
      <alignment horizontal="center" vertical="center"/>
      <protection/>
    </xf>
    <xf numFmtId="177" fontId="20" fillId="0" borderId="329" xfId="50" applyNumberFormat="1" applyFont="1" applyBorder="1" applyAlignment="1">
      <alignment horizontal="center" vertical="center"/>
      <protection/>
    </xf>
    <xf numFmtId="177" fontId="20" fillId="0" borderId="330" xfId="50" applyNumberFormat="1" applyFont="1" applyBorder="1" applyAlignment="1">
      <alignment horizontal="center" vertical="center"/>
      <protection/>
    </xf>
    <xf numFmtId="0" fontId="15" fillId="0" borderId="32" xfId="50" applyFont="1" applyBorder="1" applyAlignment="1">
      <alignment horizontal="left" vertical="center" wrapText="1"/>
      <protection/>
    </xf>
    <xf numFmtId="0" fontId="15" fillId="0" borderId="30" xfId="50" applyFont="1" applyBorder="1" applyAlignment="1">
      <alignment horizontal="left" vertical="center" wrapText="1"/>
      <protection/>
    </xf>
    <xf numFmtId="0" fontId="19" fillId="0" borderId="314" xfId="50" applyFont="1" applyBorder="1" applyAlignment="1">
      <alignment horizontal="center" vertical="center" wrapText="1"/>
      <protection/>
    </xf>
    <xf numFmtId="10" fontId="20" fillId="0" borderId="332" xfId="50" applyNumberFormat="1" applyFont="1" applyBorder="1" applyAlignment="1">
      <alignment horizontal="center" vertical="center" wrapText="1"/>
      <protection/>
    </xf>
    <xf numFmtId="0" fontId="24" fillId="0" borderId="216" xfId="50" applyFont="1" applyBorder="1" applyAlignment="1">
      <alignment horizontal="center" vertical="center"/>
      <protection/>
    </xf>
    <xf numFmtId="0" fontId="24" fillId="0" borderId="221" xfId="50" applyFont="1" applyBorder="1" applyAlignment="1">
      <alignment horizontal="center" vertical="center"/>
      <protection/>
    </xf>
    <xf numFmtId="176" fontId="21" fillId="41" borderId="97" xfId="50" applyNumberFormat="1" applyFont="1" applyFill="1" applyBorder="1" applyAlignment="1">
      <alignment horizontal="center" vertical="center"/>
      <protection/>
    </xf>
    <xf numFmtId="176" fontId="21" fillId="41" borderId="204" xfId="50" applyNumberFormat="1" applyFont="1" applyFill="1" applyBorder="1" applyAlignment="1">
      <alignment horizontal="center" vertical="center"/>
      <protection/>
    </xf>
    <xf numFmtId="0" fontId="30" fillId="0" borderId="291" xfId="50" applyFont="1" applyBorder="1">
      <alignment/>
      <protection/>
    </xf>
    <xf numFmtId="0" fontId="15" fillId="0" borderId="97" xfId="50" applyFont="1" applyBorder="1">
      <alignment/>
      <protection/>
    </xf>
    <xf numFmtId="0" fontId="30" fillId="0" borderId="129" xfId="0" applyFont="1" applyBorder="1" applyAlignment="1">
      <alignment/>
    </xf>
    <xf numFmtId="0" fontId="30" fillId="0" borderId="263" xfId="0" applyFont="1" applyBorder="1" applyAlignment="1">
      <alignment/>
    </xf>
    <xf numFmtId="0" fontId="30" fillId="0" borderId="125" xfId="0" applyFont="1" applyBorder="1" applyAlignment="1">
      <alignment/>
    </xf>
    <xf numFmtId="177" fontId="20" fillId="0" borderId="328" xfId="0" applyNumberFormat="1" applyFont="1" applyFill="1" applyBorder="1" applyAlignment="1">
      <alignment horizontal="center" vertical="center" wrapText="1"/>
    </xf>
    <xf numFmtId="177" fontId="20" fillId="0" borderId="329" xfId="0" applyNumberFormat="1" applyFont="1" applyFill="1" applyBorder="1" applyAlignment="1">
      <alignment horizontal="center" vertical="center" wrapText="1"/>
    </xf>
    <xf numFmtId="10" fontId="20" fillId="0" borderId="328" xfId="0" applyNumberFormat="1" applyFont="1" applyFill="1" applyBorder="1" applyAlignment="1">
      <alignment horizontal="center" vertical="center" wrapText="1"/>
    </xf>
    <xf numFmtId="10" fontId="20" fillId="0" borderId="329" xfId="0" applyNumberFormat="1" applyFont="1" applyFill="1" applyBorder="1" applyAlignment="1">
      <alignment horizontal="center" vertical="center" wrapText="1"/>
    </xf>
    <xf numFmtId="0" fontId="19" fillId="43" borderId="45" xfId="0" applyFont="1" applyFill="1" applyBorder="1" applyAlignment="1">
      <alignment horizontal="center" vertical="center" wrapText="1"/>
    </xf>
    <xf numFmtId="0" fontId="19" fillId="43" borderId="112" xfId="0" applyFont="1" applyFill="1" applyBorder="1" applyAlignment="1">
      <alignment horizontal="center" vertical="center" wrapText="1"/>
    </xf>
    <xf numFmtId="0" fontId="21" fillId="42" borderId="66" xfId="0" applyFont="1" applyFill="1" applyBorder="1" applyAlignment="1">
      <alignment horizontal="center" vertical="center" wrapText="1"/>
    </xf>
    <xf numFmtId="0" fontId="15" fillId="42" borderId="68" xfId="0" applyFont="1" applyFill="1" applyBorder="1" applyAlignment="1">
      <alignment horizontal="center" vertical="center" wrapText="1"/>
    </xf>
    <xf numFmtId="0" fontId="19" fillId="43" borderId="44" xfId="0" applyFont="1" applyFill="1" applyBorder="1" applyAlignment="1">
      <alignment horizontal="center" vertical="center"/>
    </xf>
    <xf numFmtId="0" fontId="19" fillId="43" borderId="183" xfId="0" applyFont="1" applyFill="1" applyBorder="1" applyAlignment="1">
      <alignment horizontal="center" vertical="center"/>
    </xf>
    <xf numFmtId="0" fontId="19" fillId="47" borderId="182" xfId="0" applyFont="1" applyFill="1" applyBorder="1" applyAlignment="1">
      <alignment horizontal="center" vertical="center" wrapText="1"/>
    </xf>
    <xf numFmtId="0" fontId="19" fillId="47" borderId="146" xfId="0" applyFont="1" applyFill="1" applyBorder="1" applyAlignment="1">
      <alignment horizontal="center" vertical="center" wrapText="1"/>
    </xf>
    <xf numFmtId="0" fontId="19" fillId="47" borderId="51" xfId="0" applyFont="1" applyFill="1" applyBorder="1" applyAlignment="1">
      <alignment horizontal="center" vertical="center" wrapText="1"/>
    </xf>
    <xf numFmtId="0" fontId="19" fillId="47" borderId="183" xfId="0" applyFont="1" applyFill="1" applyBorder="1" applyAlignment="1">
      <alignment horizontal="center" vertical="center" wrapText="1"/>
    </xf>
    <xf numFmtId="0" fontId="19" fillId="47" borderId="149" xfId="0" applyFont="1" applyFill="1" applyBorder="1" applyAlignment="1">
      <alignment horizontal="center" vertical="center" wrapText="1"/>
    </xf>
    <xf numFmtId="0" fontId="19" fillId="47" borderId="51" xfId="0" applyFont="1" applyFill="1" applyBorder="1" applyAlignment="1">
      <alignment horizontal="center" vertical="center"/>
    </xf>
    <xf numFmtId="174" fontId="23" fillId="47" borderId="0" xfId="0" applyNumberFormat="1" applyFont="1" applyFill="1" applyAlignment="1">
      <alignment horizontal="center" vertical="center" wrapText="1"/>
    </xf>
    <xf numFmtId="174" fontId="23" fillId="47" borderId="49" xfId="0" applyNumberFormat="1" applyFont="1" applyFill="1" applyBorder="1" applyAlignment="1">
      <alignment horizontal="center" vertical="center" wrapText="1"/>
    </xf>
    <xf numFmtId="174" fontId="23" fillId="47" borderId="67" xfId="0" applyNumberFormat="1" applyFont="1" applyFill="1" applyBorder="1" applyAlignment="1">
      <alignment horizontal="center" vertical="center" wrapText="1"/>
    </xf>
    <xf numFmtId="174" fontId="23" fillId="47" borderId="68" xfId="0" applyNumberFormat="1" applyFont="1" applyFill="1" applyBorder="1" applyAlignment="1">
      <alignment horizontal="center" vertical="center" wrapText="1"/>
    </xf>
    <xf numFmtId="174" fontId="23" fillId="47" borderId="51" xfId="0" applyNumberFormat="1" applyFont="1" applyFill="1" applyBorder="1" applyAlignment="1">
      <alignment horizontal="center" vertical="center" wrapText="1"/>
    </xf>
    <xf numFmtId="174" fontId="23" fillId="47" borderId="157" xfId="0" applyNumberFormat="1" applyFont="1" applyFill="1" applyBorder="1" applyAlignment="1">
      <alignment horizontal="center" vertical="center" wrapText="1"/>
    </xf>
    <xf numFmtId="174" fontId="23" fillId="47" borderId="55" xfId="0" applyNumberFormat="1" applyFont="1" applyFill="1" applyBorder="1" applyAlignment="1">
      <alignment horizontal="center" vertical="center" wrapText="1"/>
    </xf>
    <xf numFmtId="174" fontId="23" fillId="47" borderId="157" xfId="0" applyNumberFormat="1" applyFont="1" applyFill="1" applyBorder="1" applyAlignment="1">
      <alignment horizontal="center" vertical="center"/>
    </xf>
    <xf numFmtId="0" fontId="15" fillId="48" borderId="41" xfId="0" applyFont="1" applyFill="1" applyBorder="1" applyAlignment="1">
      <alignment horizontal="left" vertical="center" wrapText="1"/>
    </xf>
    <xf numFmtId="0" fontId="15" fillId="48" borderId="45" xfId="0" applyFont="1" applyFill="1" applyBorder="1" applyAlignment="1">
      <alignment horizontal="left" vertical="center" wrapText="1"/>
    </xf>
    <xf numFmtId="0" fontId="15" fillId="48" borderId="55" xfId="0" applyFont="1" applyFill="1" applyBorder="1" applyAlignment="1">
      <alignment horizontal="left" vertical="center" wrapText="1"/>
    </xf>
    <xf numFmtId="0" fontId="15" fillId="48" borderId="10" xfId="0" applyFont="1" applyFill="1" applyBorder="1" applyAlignment="1">
      <alignment horizontal="left" vertical="center" wrapText="1"/>
    </xf>
    <xf numFmtId="0" fontId="15" fillId="48" borderId="181" xfId="0" applyFont="1" applyFill="1" applyBorder="1" applyAlignment="1">
      <alignment horizontal="left" vertical="center" wrapText="1"/>
    </xf>
    <xf numFmtId="0" fontId="15" fillId="48" borderId="112" xfId="0" applyFont="1" applyFill="1" applyBorder="1" applyAlignment="1">
      <alignment horizontal="left" vertical="center" wrapText="1"/>
    </xf>
    <xf numFmtId="0" fontId="15" fillId="48" borderId="0" xfId="0" applyFont="1" applyFill="1" applyAlignment="1">
      <alignment horizontal="left" vertical="center" wrapText="1"/>
    </xf>
    <xf numFmtId="0" fontId="15" fillId="48" borderId="42" xfId="0" applyFont="1" applyFill="1" applyBorder="1" applyAlignment="1">
      <alignment horizontal="left" vertical="center" wrapText="1"/>
    </xf>
    <xf numFmtId="0" fontId="92" fillId="0" borderId="336" xfId="0" applyFont="1" applyBorder="1" applyAlignment="1">
      <alignment horizontal="center"/>
    </xf>
    <xf numFmtId="0" fontId="92" fillId="0" borderId="260" xfId="0" applyFont="1" applyBorder="1" applyAlignment="1">
      <alignment horizontal="center"/>
    </xf>
    <xf numFmtId="0" fontId="92" fillId="0" borderId="337" xfId="0" applyFont="1" applyBorder="1" applyAlignment="1">
      <alignment horizontal="center"/>
    </xf>
    <xf numFmtId="0" fontId="92" fillId="0" borderId="338" xfId="0" applyFont="1" applyBorder="1" applyAlignment="1">
      <alignment horizontal="center"/>
    </xf>
    <xf numFmtId="0" fontId="92" fillId="0" borderId="339" xfId="0" applyFont="1" applyBorder="1" applyAlignment="1">
      <alignment horizontal="center"/>
    </xf>
    <xf numFmtId="0" fontId="92" fillId="0" borderId="340" xfId="0" applyFont="1" applyBorder="1" applyAlignment="1">
      <alignment horizontal="center"/>
    </xf>
    <xf numFmtId="0" fontId="15" fillId="48" borderId="182" xfId="0" applyFont="1" applyFill="1" applyBorder="1" applyAlignment="1">
      <alignment horizontal="left" vertical="center" wrapText="1"/>
    </xf>
    <xf numFmtId="0" fontId="15" fillId="48" borderId="44" xfId="0" applyFont="1" applyFill="1" applyBorder="1" applyAlignment="1">
      <alignment horizontal="left" vertical="center" wrapText="1"/>
    </xf>
    <xf numFmtId="0" fontId="15" fillId="48" borderId="157" xfId="0" applyFont="1" applyFill="1" applyBorder="1" applyAlignment="1">
      <alignment horizontal="left" vertical="center" wrapText="1"/>
    </xf>
    <xf numFmtId="49" fontId="92" fillId="0" borderId="260" xfId="0" applyNumberFormat="1" applyFont="1" applyBorder="1" applyAlignment="1">
      <alignment horizontal="center"/>
    </xf>
    <xf numFmtId="0" fontId="92" fillId="0" borderId="341" xfId="0" applyFont="1" applyBorder="1" applyAlignment="1">
      <alignment horizontal="center"/>
    </xf>
    <xf numFmtId="0" fontId="15" fillId="48" borderId="41" xfId="0" applyFont="1" applyFill="1" applyBorder="1" applyAlignment="1">
      <alignment horizontal="left" vertical="center"/>
    </xf>
    <xf numFmtId="0" fontId="15" fillId="48" borderId="45" xfId="0" applyFont="1" applyFill="1" applyBorder="1" applyAlignment="1">
      <alignment horizontal="left" vertical="center"/>
    </xf>
    <xf numFmtId="0" fontId="92" fillId="0" borderId="67" xfId="0" applyFont="1" applyBorder="1" applyAlignment="1">
      <alignment horizontal="center"/>
    </xf>
    <xf numFmtId="0" fontId="15" fillId="48" borderId="55" xfId="0" applyFont="1" applyFill="1" applyBorder="1" applyAlignment="1">
      <alignment horizontal="left" vertical="center"/>
    </xf>
    <xf numFmtId="0" fontId="15" fillId="48" borderId="10" xfId="0" applyFont="1" applyFill="1" applyBorder="1" applyAlignment="1">
      <alignment horizontal="left" vertical="center"/>
    </xf>
    <xf numFmtId="0" fontId="15" fillId="48" borderId="26" xfId="0" applyFont="1" applyFill="1" applyBorder="1" applyAlignment="1">
      <alignment horizontal="left" vertical="center" wrapText="1"/>
    </xf>
    <xf numFmtId="0" fontId="15" fillId="48" borderId="342" xfId="0" applyFont="1" applyFill="1" applyBorder="1" applyAlignment="1">
      <alignment horizontal="left" vertical="center" wrapText="1"/>
    </xf>
    <xf numFmtId="0" fontId="15" fillId="48" borderId="13" xfId="0" applyFont="1" applyFill="1" applyBorder="1" applyAlignment="1">
      <alignment horizontal="left" vertical="center" wrapText="1"/>
    </xf>
    <xf numFmtId="0" fontId="15" fillId="48" borderId="343" xfId="0" applyFont="1" applyFill="1" applyBorder="1" applyAlignment="1">
      <alignment horizontal="left" vertical="center" wrapText="1"/>
    </xf>
    <xf numFmtId="0" fontId="15" fillId="0" borderId="249" xfId="0" applyFont="1" applyBorder="1" applyAlignment="1">
      <alignment horizontal="center"/>
    </xf>
    <xf numFmtId="0" fontId="15" fillId="48" borderId="26" xfId="0" applyFont="1" applyFill="1" applyBorder="1" applyAlignment="1">
      <alignment horizontal="left" vertical="center"/>
    </xf>
    <xf numFmtId="0" fontId="15" fillId="48" borderId="342" xfId="0" applyFont="1" applyFill="1" applyBorder="1" applyAlignment="1">
      <alignment horizontal="left" vertical="center"/>
    </xf>
    <xf numFmtId="0" fontId="15" fillId="48" borderId="13" xfId="0" applyFont="1" applyFill="1" applyBorder="1" applyAlignment="1">
      <alignment horizontal="left" vertical="center"/>
    </xf>
    <xf numFmtId="0" fontId="15" fillId="48" borderId="343" xfId="0" applyFont="1" applyFill="1" applyBorder="1" applyAlignment="1">
      <alignment horizontal="left" vertical="center"/>
    </xf>
    <xf numFmtId="0" fontId="15" fillId="48" borderId="32" xfId="0" applyFont="1" applyFill="1" applyBorder="1" applyAlignment="1">
      <alignment horizontal="left" vertical="center"/>
    </xf>
    <xf numFmtId="0" fontId="15" fillId="48" borderId="30" xfId="0" applyFont="1" applyFill="1" applyBorder="1" applyAlignment="1">
      <alignment horizontal="left" vertical="center"/>
    </xf>
    <xf numFmtId="0" fontId="15" fillId="48" borderId="38" xfId="0" applyFont="1" applyFill="1" applyBorder="1" applyAlignment="1">
      <alignment horizontal="left" vertical="center"/>
    </xf>
    <xf numFmtId="0" fontId="15" fillId="48" borderId="344" xfId="0" applyFont="1" applyFill="1" applyBorder="1" applyAlignment="1">
      <alignment horizontal="left" vertical="center"/>
    </xf>
    <xf numFmtId="0" fontId="73" fillId="0" borderId="275" xfId="0" applyFont="1" applyBorder="1" applyAlignment="1">
      <alignment horizontal="center"/>
    </xf>
    <xf numFmtId="0" fontId="15" fillId="48" borderId="32" xfId="0" applyFont="1" applyFill="1" applyBorder="1" applyAlignment="1">
      <alignment horizontal="left" vertical="center" wrapText="1"/>
    </xf>
    <xf numFmtId="0" fontId="15" fillId="48" borderId="30" xfId="0" applyFont="1" applyFill="1" applyBorder="1" applyAlignment="1">
      <alignment horizontal="left" vertical="center" wrapText="1"/>
    </xf>
    <xf numFmtId="0" fontId="15" fillId="48" borderId="48" xfId="0" applyFont="1" applyFill="1" applyBorder="1" applyAlignment="1">
      <alignment horizontal="left" vertical="center" wrapText="1"/>
    </xf>
    <xf numFmtId="0" fontId="15" fillId="48" borderId="50" xfId="0" applyFont="1" applyFill="1" applyBorder="1" applyAlignment="1">
      <alignment horizontal="left" vertical="center" wrapText="1"/>
    </xf>
    <xf numFmtId="0" fontId="23" fillId="0" borderId="222" xfId="0" applyFont="1" applyBorder="1" applyAlignment="1">
      <alignment horizontal="center" vertical="center"/>
    </xf>
    <xf numFmtId="0" fontId="30" fillId="0" borderId="345" xfId="0" applyFont="1" applyBorder="1" applyAlignment="1">
      <alignment/>
    </xf>
    <xf numFmtId="0" fontId="15" fillId="0" borderId="202" xfId="0" applyFont="1" applyBorder="1" applyAlignment="1">
      <alignment/>
    </xf>
    <xf numFmtId="176" fontId="96" fillId="0" borderId="0" xfId="0" applyNumberFormat="1" applyFont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Monétaire 2" xfId="48"/>
    <cellStyle name="Neutre" xfId="49"/>
    <cellStyle name="Normal 2" xfId="50"/>
    <cellStyle name="Normal 3" xfId="51"/>
    <cellStyle name="Note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 1" xfId="59"/>
    <cellStyle name="Titre 2" xfId="60"/>
    <cellStyle name="Titre 3" xfId="61"/>
    <cellStyle name="Titre 4" xfId="62"/>
    <cellStyle name="Total" xfId="63"/>
    <cellStyle name="Vérification" xfId="64"/>
  </cellStyles>
  <dxfs count="15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714375</xdr:colOff>
      <xdr:row>22</xdr:row>
      <xdr:rowOff>95250</xdr:rowOff>
    </xdr:from>
    <xdr:to>
      <xdr:col>20</xdr:col>
      <xdr:colOff>76200</xdr:colOff>
      <xdr:row>22</xdr:row>
      <xdr:rowOff>95250</xdr:rowOff>
    </xdr:to>
    <xdr:sp>
      <xdr:nvSpPr>
        <xdr:cNvPr id="1" name="Line 1"/>
        <xdr:cNvSpPr>
          <a:spLocks/>
        </xdr:cNvSpPr>
      </xdr:nvSpPr>
      <xdr:spPr>
        <a:xfrm>
          <a:off x="13106400" y="5153025"/>
          <a:ext cx="5419725" cy="0"/>
        </a:xfrm>
        <a:prstGeom prst="line">
          <a:avLst/>
        </a:prstGeom>
        <a:noFill/>
        <a:ln w="38100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tations%202015\EtudeDotations%20mate&#769;riels%202015%20Vde&#769;f%20MAJ14.10.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tations%202016\Etude%20dotations%20mate&#769;riels%20clubs%202016Vfinale07_04_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tations%202017\Etude%20dotations%20mate&#769;riels%20clubs%202017apre&#768;s%20correction%20club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tations%202018\Tableau%20final%20dotations%20mate&#769;riels%20club%20V03-12-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phie\Desktop\Tableau%20dotations%20mat&#233;riels%20club%20def%2023-04-19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otations%202019\Dotations%20mate&#769;riels%20club%20de&#769;finitif%20au%2030-12-19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tude%20dotations%20mate&#769;riels%20club%2028-12-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- Propositions CRAM (corr (2)"/>
      <sheetName val="1 -Dotation matériel 2015"/>
      <sheetName val="Catalogue dotations 2015"/>
      <sheetName val="Feuil1"/>
    </sheetNames>
    <sheetDataSet>
      <sheetData sheetId="2">
        <row r="4">
          <cell r="E4">
            <v>69.6</v>
          </cell>
        </row>
        <row r="7">
          <cell r="E7">
            <v>379.31</v>
          </cell>
        </row>
        <row r="10">
          <cell r="E10">
            <v>191.64</v>
          </cell>
        </row>
        <row r="13">
          <cell r="E13">
            <v>257.27</v>
          </cell>
        </row>
        <row r="17">
          <cell r="E17">
            <v>333.15</v>
          </cell>
        </row>
        <row r="22">
          <cell r="E22">
            <v>76.9</v>
          </cell>
        </row>
        <row r="24">
          <cell r="E24">
            <v>264.33000000000004</v>
          </cell>
        </row>
        <row r="26">
          <cell r="F26">
            <v>834</v>
          </cell>
        </row>
        <row r="28">
          <cell r="F28">
            <v>732</v>
          </cell>
        </row>
        <row r="30">
          <cell r="E30">
            <v>157.2</v>
          </cell>
        </row>
        <row r="33">
          <cell r="E33">
            <v>392.22</v>
          </cell>
        </row>
        <row r="34">
          <cell r="E34">
            <v>140.28</v>
          </cell>
        </row>
        <row r="35">
          <cell r="E35">
            <v>122.04</v>
          </cell>
        </row>
        <row r="36">
          <cell r="E36">
            <v>168</v>
          </cell>
        </row>
        <row r="37">
          <cell r="E37">
            <v>187.67</v>
          </cell>
        </row>
        <row r="38">
          <cell r="E38">
            <v>152.64</v>
          </cell>
        </row>
        <row r="40">
          <cell r="E40">
            <v>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Propositions CRAM (corr (2)"/>
      <sheetName val="2 -Dotation matériel 2016finale"/>
      <sheetName val="Catalogue dot et JE 2016"/>
    </sheetNames>
    <sheetDataSet>
      <sheetData sheetId="2">
        <row r="4">
          <cell r="E4">
            <v>84</v>
          </cell>
        </row>
        <row r="7">
          <cell r="E7">
            <v>430.69000000000005</v>
          </cell>
        </row>
        <row r="10">
          <cell r="E10">
            <v>206.04000000000002</v>
          </cell>
        </row>
        <row r="13">
          <cell r="E13">
            <v>308.65</v>
          </cell>
        </row>
        <row r="17">
          <cell r="E17">
            <v>360.25</v>
          </cell>
        </row>
        <row r="20">
          <cell r="E20">
            <v>76.9</v>
          </cell>
        </row>
        <row r="22">
          <cell r="E22">
            <v>310.78</v>
          </cell>
        </row>
        <row r="24">
          <cell r="E24">
            <v>834.2</v>
          </cell>
        </row>
        <row r="28">
          <cell r="E28">
            <v>671.12</v>
          </cell>
        </row>
        <row r="29">
          <cell r="E29">
            <v>159.61</v>
          </cell>
        </row>
        <row r="32">
          <cell r="E32">
            <v>435.15</v>
          </cell>
        </row>
        <row r="33">
          <cell r="E33">
            <v>140.28</v>
          </cell>
        </row>
        <row r="34">
          <cell r="E34">
            <v>122.04</v>
          </cell>
        </row>
        <row r="35">
          <cell r="E35">
            <v>319.8</v>
          </cell>
        </row>
        <row r="36">
          <cell r="E36">
            <v>241.8</v>
          </cell>
        </row>
        <row r="37">
          <cell r="E37">
            <v>133.74</v>
          </cell>
        </row>
        <row r="39">
          <cell r="E39">
            <v>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- Propositions CRAM (corr (2)"/>
      <sheetName val="1 -Dotation matériel 2017"/>
      <sheetName val="Catalogue dot et JE 2017"/>
      <sheetName val="2-après correction club 2017)"/>
      <sheetName val="Feuil1"/>
      <sheetName val="Feuil2"/>
    </sheetNames>
    <sheetDataSet>
      <sheetData sheetId="2">
        <row r="4">
          <cell r="E4">
            <v>69.6</v>
          </cell>
        </row>
        <row r="5">
          <cell r="E5">
            <v>122.04</v>
          </cell>
        </row>
        <row r="6">
          <cell r="E6">
            <v>240.96</v>
          </cell>
        </row>
        <row r="7">
          <cell r="E7">
            <v>432.6</v>
          </cell>
        </row>
        <row r="20">
          <cell r="E20">
            <v>85.74</v>
          </cell>
        </row>
        <row r="22">
          <cell r="E22">
            <v>330.9</v>
          </cell>
        </row>
        <row r="24">
          <cell r="E24">
            <v>159.61</v>
          </cell>
        </row>
        <row r="27">
          <cell r="E27">
            <v>447.88</v>
          </cell>
        </row>
        <row r="28">
          <cell r="E28">
            <v>117.6</v>
          </cell>
        </row>
        <row r="29">
          <cell r="E29">
            <v>122.04</v>
          </cell>
        </row>
        <row r="30">
          <cell r="E30">
            <v>319.8</v>
          </cell>
        </row>
        <row r="31">
          <cell r="E31">
            <v>240.96</v>
          </cell>
        </row>
        <row r="32">
          <cell r="E32">
            <v>91.2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ot 1er"/>
      <sheetName val="Dot corrigé"/>
      <sheetName val="Dot definitf"/>
      <sheetName val="Catalogue DOT 2018"/>
      <sheetName val="Cde fournisseur"/>
    </sheetNames>
    <sheetDataSet>
      <sheetData sheetId="3">
        <row r="4">
          <cell r="E4">
            <v>79.35</v>
          </cell>
        </row>
        <row r="5">
          <cell r="E5">
            <v>96.95</v>
          </cell>
        </row>
        <row r="6">
          <cell r="E6">
            <v>151.9</v>
          </cell>
        </row>
        <row r="7">
          <cell r="E7">
            <v>106.8</v>
          </cell>
        </row>
        <row r="8">
          <cell r="E8">
            <v>68.24</v>
          </cell>
        </row>
        <row r="9">
          <cell r="E9">
            <v>233.42</v>
          </cell>
        </row>
        <row r="10">
          <cell r="E10">
            <v>87</v>
          </cell>
        </row>
        <row r="11">
          <cell r="E11">
            <v>439.2</v>
          </cell>
        </row>
        <row r="12">
          <cell r="E12">
            <v>743.32</v>
          </cell>
        </row>
        <row r="13">
          <cell r="E13">
            <v>389.49</v>
          </cell>
        </row>
        <row r="14">
          <cell r="E14">
            <v>158.27</v>
          </cell>
        </row>
        <row r="16">
          <cell r="E16">
            <v>238.79</v>
          </cell>
        </row>
        <row r="17">
          <cell r="E17">
            <v>205.9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ot 1er"/>
      <sheetName val="Dot corrigé"/>
      <sheetName val="Dot definitf "/>
      <sheetName val="Catalogue DOT 2019"/>
    </sheetNames>
    <sheetDataSet>
      <sheetData sheetId="3">
        <row r="4">
          <cell r="E4">
            <v>86</v>
          </cell>
        </row>
        <row r="5">
          <cell r="E5">
            <v>157.3</v>
          </cell>
        </row>
        <row r="6">
          <cell r="E6">
            <v>147.3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t 1er"/>
      <sheetName val="Dot corrigé"/>
      <sheetName val="Dot definitif 30-12-19"/>
      <sheetName val="Catalogue DOT 2019"/>
      <sheetName val="Feuil2"/>
    </sheetNames>
    <sheetDataSet>
      <sheetData sheetId="3">
        <row r="7">
          <cell r="E7">
            <v>106.8</v>
          </cell>
        </row>
        <row r="8">
          <cell r="E8">
            <v>106.8</v>
          </cell>
        </row>
        <row r="9">
          <cell r="E9">
            <v>233.42</v>
          </cell>
        </row>
        <row r="10">
          <cell r="E10">
            <v>923.5</v>
          </cell>
        </row>
        <row r="11">
          <cell r="I11">
            <v>389.49</v>
          </cell>
        </row>
        <row r="12">
          <cell r="E12">
            <v>158.17</v>
          </cell>
        </row>
        <row r="15">
          <cell r="E15">
            <v>245.34</v>
          </cell>
        </row>
        <row r="16">
          <cell r="E16">
            <v>199.94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t 1er"/>
      <sheetName val="Dot corrigé"/>
      <sheetName val="Etude dot mat 2020"/>
      <sheetName val="verif 1 - 190320"/>
      <sheetName val="verif 2 - 070520"/>
      <sheetName val="Validé 11-05"/>
      <sheetName val="Ajout PL 8-06"/>
      <sheetName val="Ajout OCC 13-08"/>
      <sheetName val="Correction BRE et AURA 20-08 "/>
      <sheetName val="Correction 220920"/>
      <sheetName val="Correction 281220 "/>
      <sheetName val="Catalogue dot 2020"/>
      <sheetName val="REPONSES LAM"/>
    </sheetNames>
    <sheetDataSet>
      <sheetData sheetId="11">
        <row r="4">
          <cell r="E4">
            <v>86</v>
          </cell>
        </row>
        <row r="5">
          <cell r="E5">
            <v>187.11</v>
          </cell>
        </row>
        <row r="6">
          <cell r="E6">
            <v>174.89</v>
          </cell>
        </row>
        <row r="7">
          <cell r="E7">
            <v>111.8</v>
          </cell>
        </row>
        <row r="8">
          <cell r="E8">
            <v>84.64</v>
          </cell>
        </row>
        <row r="9">
          <cell r="E9">
            <v>240.32</v>
          </cell>
        </row>
        <row r="11">
          <cell r="E11">
            <v>333.96</v>
          </cell>
        </row>
        <row r="12">
          <cell r="E12">
            <v>152.17</v>
          </cell>
        </row>
        <row r="13">
          <cell r="E13">
            <v>56</v>
          </cell>
        </row>
        <row r="15">
          <cell r="E15">
            <v>143</v>
          </cell>
        </row>
        <row r="16">
          <cell r="E16">
            <v>246.75</v>
          </cell>
        </row>
        <row r="17">
          <cell r="E17">
            <v>183.53</v>
          </cell>
        </row>
        <row r="18">
          <cell r="E18">
            <v>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6"/>
  <sheetViews>
    <sheetView showGridLines="0" zoomScalePageLayoutView="0" workbookViewId="0" topLeftCell="A65">
      <selection activeCell="F101" sqref="F101"/>
    </sheetView>
  </sheetViews>
  <sheetFormatPr defaultColWidth="11.421875" defaultRowHeight="12.75"/>
  <cols>
    <col min="1" max="1" width="4.28125" style="0" customWidth="1"/>
    <col min="2" max="2" width="16.140625" style="188" customWidth="1"/>
    <col min="3" max="3" width="7.28125" style="188" customWidth="1"/>
    <col min="4" max="4" width="16.00390625" style="10" customWidth="1"/>
    <col min="5" max="5" width="14.421875" style="10" bestFit="1" customWidth="1"/>
    <col min="6" max="6" width="19.7109375" style="10" bestFit="1" customWidth="1"/>
    <col min="7" max="7" width="12.140625" style="10" bestFit="1" customWidth="1"/>
    <col min="8" max="8" width="10.421875" style="10" bestFit="1" customWidth="1"/>
    <col min="9" max="9" width="12.00390625" style="10" customWidth="1"/>
    <col min="10" max="10" width="16.140625" style="10" customWidth="1"/>
    <col min="11" max="11" width="13.7109375" style="10" customWidth="1"/>
    <col min="12" max="12" width="14.421875" style="10" bestFit="1" customWidth="1"/>
    <col min="13" max="13" width="13.7109375" style="10" customWidth="1"/>
    <col min="14" max="14" width="11.28125" style="10" customWidth="1"/>
    <col min="15" max="15" width="10.8515625" style="10" customWidth="1"/>
    <col min="16" max="16" width="18.421875" style="10" customWidth="1"/>
    <col min="17" max="17" width="13.421875" style="10" customWidth="1"/>
    <col min="18" max="18" width="12.140625" style="10" bestFit="1" customWidth="1"/>
    <col min="19" max="19" width="11.421875" style="10" hidden="1" customWidth="1"/>
    <col min="20" max="20" width="12.421875" style="10" customWidth="1"/>
    <col min="21" max="21" width="14.421875" style="10" bestFit="1" customWidth="1"/>
    <col min="22" max="22" width="14.00390625" style="168" customWidth="1"/>
    <col min="23" max="23" width="78.421875" style="0" customWidth="1"/>
  </cols>
  <sheetData>
    <row r="1" spans="2:21" ht="23.25">
      <c r="B1" s="183"/>
      <c r="C1" s="183"/>
      <c r="D1" s="2"/>
      <c r="E1" s="2"/>
      <c r="F1" s="2"/>
      <c r="G1" s="2"/>
      <c r="H1" s="2"/>
      <c r="I1" s="2"/>
      <c r="J1" s="11" t="s">
        <v>61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12.75">
      <c r="B2" s="183"/>
      <c r="C2" s="183"/>
      <c r="D2" s="2"/>
      <c r="E2" s="2"/>
      <c r="F2" s="2"/>
      <c r="G2" s="2"/>
      <c r="H2" s="2"/>
      <c r="I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2:3" ht="13.5" thickBot="1">
      <c r="B3" s="184"/>
      <c r="C3" s="184"/>
    </row>
    <row r="4" spans="1:21" ht="29.25" customHeight="1" thickBot="1">
      <c r="A4" s="4"/>
      <c r="B4" s="1159" t="s">
        <v>21</v>
      </c>
      <c r="C4" s="1160"/>
      <c r="D4" s="1151" t="s">
        <v>0</v>
      </c>
      <c r="E4" s="1152"/>
      <c r="F4" s="1152"/>
      <c r="G4" s="1152"/>
      <c r="H4" s="1152"/>
      <c r="I4" s="1153"/>
      <c r="J4" s="1154" t="s">
        <v>10</v>
      </c>
      <c r="K4" s="1151" t="s">
        <v>1</v>
      </c>
      <c r="L4" s="1152"/>
      <c r="M4" s="1153"/>
      <c r="N4" s="1151" t="s">
        <v>2</v>
      </c>
      <c r="O4" s="1153"/>
      <c r="P4" s="1154" t="s">
        <v>16</v>
      </c>
      <c r="Q4" s="1151" t="s">
        <v>3</v>
      </c>
      <c r="R4" s="1152"/>
      <c r="S4" s="1152"/>
      <c r="T4" s="1152"/>
      <c r="U4" s="1153"/>
    </row>
    <row r="5" spans="1:25" ht="66.75" customHeight="1" thickBot="1">
      <c r="A5" s="8"/>
      <c r="B5" s="1161"/>
      <c r="C5" s="1162"/>
      <c r="D5" s="163" t="s">
        <v>4</v>
      </c>
      <c r="E5" s="164" t="s">
        <v>5</v>
      </c>
      <c r="F5" s="164" t="s">
        <v>6</v>
      </c>
      <c r="G5" s="164" t="s">
        <v>7</v>
      </c>
      <c r="H5" s="164" t="s">
        <v>8</v>
      </c>
      <c r="I5" s="165" t="s">
        <v>9</v>
      </c>
      <c r="J5" s="1155"/>
      <c r="K5" s="163" t="s">
        <v>11</v>
      </c>
      <c r="L5" s="164" t="s">
        <v>12</v>
      </c>
      <c r="M5" s="165" t="s">
        <v>13</v>
      </c>
      <c r="N5" s="163" t="s">
        <v>14</v>
      </c>
      <c r="O5" s="165" t="s">
        <v>15</v>
      </c>
      <c r="P5" s="1156"/>
      <c r="Q5" s="163" t="s">
        <v>17</v>
      </c>
      <c r="R5" s="164" t="s">
        <v>18</v>
      </c>
      <c r="S5" s="164"/>
      <c r="T5" s="164" t="s">
        <v>19</v>
      </c>
      <c r="U5" s="165" t="s">
        <v>20</v>
      </c>
      <c r="V5" s="167" t="s">
        <v>47</v>
      </c>
      <c r="W5" s="3"/>
      <c r="X5" s="3"/>
      <c r="Y5" s="3"/>
    </row>
    <row r="6" spans="2:22" s="5" customFormat="1" ht="14.25" thickBot="1" thickTop="1">
      <c r="B6" s="185" t="s">
        <v>21</v>
      </c>
      <c r="C6" s="189">
        <v>0</v>
      </c>
      <c r="D6" s="124"/>
      <c r="E6" s="124"/>
      <c r="F6" s="125"/>
      <c r="G6" s="125"/>
      <c r="H6" s="125"/>
      <c r="I6" s="124"/>
      <c r="J6" s="124"/>
      <c r="K6" s="124"/>
      <c r="L6" s="125"/>
      <c r="M6" s="125"/>
      <c r="N6" s="124"/>
      <c r="O6" s="124"/>
      <c r="P6" s="124"/>
      <c r="Q6" s="124"/>
      <c r="R6" s="124"/>
      <c r="S6" s="124"/>
      <c r="T6" s="124"/>
      <c r="U6" s="126"/>
      <c r="V6" s="1118"/>
    </row>
    <row r="7" spans="2:22" s="1" customFormat="1" ht="13.5" thickBot="1">
      <c r="B7" s="1112" t="s">
        <v>40</v>
      </c>
      <c r="C7" s="1113"/>
      <c r="D7" s="13"/>
      <c r="E7" s="14"/>
      <c r="F7" s="15"/>
      <c r="G7" s="15"/>
      <c r="H7" s="15"/>
      <c r="I7" s="16"/>
      <c r="J7" s="17"/>
      <c r="K7" s="13"/>
      <c r="L7" s="15"/>
      <c r="M7" s="18"/>
      <c r="N7" s="13"/>
      <c r="O7" s="19"/>
      <c r="P7" s="17"/>
      <c r="Q7" s="13"/>
      <c r="R7" s="20"/>
      <c r="S7" s="16"/>
      <c r="T7" s="20"/>
      <c r="U7" s="127"/>
      <c r="V7" s="1115"/>
    </row>
    <row r="8" spans="2:22" s="5" customFormat="1" ht="13.5" thickBot="1">
      <c r="B8" s="186" t="s">
        <v>21</v>
      </c>
      <c r="C8" s="190">
        <v>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8"/>
      <c r="V8" s="1115"/>
    </row>
    <row r="9" spans="1:22" ht="13.5" thickBot="1">
      <c r="A9" s="5"/>
      <c r="B9" s="1142" t="s">
        <v>22</v>
      </c>
      <c r="C9" s="1143"/>
      <c r="D9" s="16">
        <v>667</v>
      </c>
      <c r="E9" s="177">
        <v>564</v>
      </c>
      <c r="F9" s="22"/>
      <c r="G9" s="22"/>
      <c r="H9" s="22"/>
      <c r="I9" s="23"/>
      <c r="J9" s="24"/>
      <c r="K9" s="21"/>
      <c r="L9" s="22"/>
      <c r="M9" s="23"/>
      <c r="N9" s="25"/>
      <c r="O9" s="26"/>
      <c r="P9" s="24"/>
      <c r="Q9" s="21"/>
      <c r="R9" s="22"/>
      <c r="S9" s="22"/>
      <c r="T9" s="22"/>
      <c r="U9" s="129"/>
      <c r="V9" s="1115"/>
    </row>
    <row r="10" spans="1:22" ht="13.5" thickBot="1">
      <c r="A10" s="5"/>
      <c r="B10" s="186" t="s">
        <v>21</v>
      </c>
      <c r="C10" s="190">
        <v>2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8"/>
      <c r="V10" s="1115"/>
    </row>
    <row r="11" spans="1:22" ht="13.5" thickBot="1">
      <c r="A11" s="5"/>
      <c r="B11" s="1112" t="s">
        <v>23</v>
      </c>
      <c r="C11" s="1150"/>
      <c r="D11" s="27">
        <v>773</v>
      </c>
      <c r="E11" s="178">
        <v>128</v>
      </c>
      <c r="F11" s="28"/>
      <c r="G11" s="28"/>
      <c r="H11" s="28"/>
      <c r="I11" s="29">
        <v>400</v>
      </c>
      <c r="J11" s="30">
        <v>440</v>
      </c>
      <c r="K11" s="31"/>
      <c r="L11" s="28">
        <v>907</v>
      </c>
      <c r="M11" s="32"/>
      <c r="N11" s="33"/>
      <c r="O11" s="34">
        <v>602</v>
      </c>
      <c r="P11" s="30"/>
      <c r="Q11" s="31">
        <v>73</v>
      </c>
      <c r="R11" s="28"/>
      <c r="S11" s="28"/>
      <c r="T11" s="28"/>
      <c r="U11" s="130"/>
      <c r="V11" s="1115"/>
    </row>
    <row r="12" spans="1:22" ht="12.75">
      <c r="A12" s="5"/>
      <c r="B12" s="1124"/>
      <c r="C12" s="1137"/>
      <c r="D12" s="36">
        <v>543</v>
      </c>
      <c r="E12" s="37">
        <v>198</v>
      </c>
      <c r="F12" s="38"/>
      <c r="G12" s="38"/>
      <c r="H12" s="38"/>
      <c r="I12" s="39"/>
      <c r="J12" s="40">
        <v>149</v>
      </c>
      <c r="K12" s="41"/>
      <c r="L12" s="9"/>
      <c r="M12" s="39"/>
      <c r="N12" s="42"/>
      <c r="O12" s="180">
        <v>128</v>
      </c>
      <c r="P12" s="40"/>
      <c r="Q12" s="41">
        <v>580</v>
      </c>
      <c r="R12" s="9"/>
      <c r="S12" s="9"/>
      <c r="T12" s="9"/>
      <c r="U12" s="131"/>
      <c r="V12" s="1115"/>
    </row>
    <row r="13" spans="1:22" ht="13.5" thickBot="1">
      <c r="A13" s="5"/>
      <c r="B13" s="1130"/>
      <c r="C13" s="1137"/>
      <c r="D13" s="42"/>
      <c r="E13" s="37">
        <v>758</v>
      </c>
      <c r="F13" s="38"/>
      <c r="G13" s="38"/>
      <c r="H13" s="38"/>
      <c r="I13" s="39"/>
      <c r="J13" s="40"/>
      <c r="K13" s="41"/>
      <c r="L13" s="9"/>
      <c r="M13" s="39"/>
      <c r="N13" s="42"/>
      <c r="O13" s="43"/>
      <c r="P13" s="40"/>
      <c r="Q13" s="41"/>
      <c r="R13" s="9"/>
      <c r="S13" s="9"/>
      <c r="T13" s="9"/>
      <c r="U13" s="131"/>
      <c r="V13" s="1115"/>
    </row>
    <row r="14" spans="1:22" ht="13.5" thickBot="1">
      <c r="A14" s="5"/>
      <c r="B14" s="186" t="s">
        <v>21</v>
      </c>
      <c r="C14" s="190">
        <v>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8"/>
      <c r="V14" s="1115"/>
    </row>
    <row r="15" spans="1:22" s="6" customFormat="1" ht="13.5" thickBot="1">
      <c r="A15" s="1"/>
      <c r="B15" s="1112" t="s">
        <v>24</v>
      </c>
      <c r="C15" s="1114"/>
      <c r="D15" s="27">
        <v>161</v>
      </c>
      <c r="E15" s="50"/>
      <c r="F15" s="51"/>
      <c r="G15" s="29"/>
      <c r="H15" s="29"/>
      <c r="I15" s="35"/>
      <c r="J15" s="30"/>
      <c r="K15" s="52"/>
      <c r="L15" s="53">
        <v>497</v>
      </c>
      <c r="M15" s="51"/>
      <c r="N15" s="27"/>
      <c r="O15" s="35"/>
      <c r="P15" s="30"/>
      <c r="Q15" s="51"/>
      <c r="R15" s="29">
        <v>525</v>
      </c>
      <c r="S15" s="51"/>
      <c r="T15" s="53"/>
      <c r="U15" s="132"/>
      <c r="V15" s="1115"/>
    </row>
    <row r="16" spans="1:22" s="6" customFormat="1" ht="13.5" thickBot="1">
      <c r="A16" s="1"/>
      <c r="B16" s="186" t="s">
        <v>21</v>
      </c>
      <c r="C16" s="190">
        <v>4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8"/>
      <c r="V16" s="1119"/>
    </row>
    <row r="17" spans="1:23" s="6" customFormat="1" ht="13.5" thickBot="1">
      <c r="A17" s="1"/>
      <c r="B17" s="1112" t="s">
        <v>26</v>
      </c>
      <c r="C17" s="1150"/>
      <c r="D17" s="54">
        <v>398</v>
      </c>
      <c r="E17" s="50"/>
      <c r="F17" s="53"/>
      <c r="G17" s="53"/>
      <c r="H17" s="55"/>
      <c r="I17" s="56">
        <v>366</v>
      </c>
      <c r="J17" s="57">
        <v>237</v>
      </c>
      <c r="K17" s="55"/>
      <c r="L17" s="53"/>
      <c r="M17" s="55"/>
      <c r="N17" s="52"/>
      <c r="O17" s="58">
        <v>530</v>
      </c>
      <c r="P17" s="30"/>
      <c r="Q17" s="55"/>
      <c r="R17" s="53">
        <v>28</v>
      </c>
      <c r="S17" s="55"/>
      <c r="T17" s="55"/>
      <c r="U17" s="130">
        <v>577</v>
      </c>
      <c r="V17" s="170">
        <v>179.4</v>
      </c>
      <c r="W17" s="6" t="s">
        <v>50</v>
      </c>
    </row>
    <row r="18" spans="1:23" s="6" customFormat="1" ht="13.5" thickBot="1">
      <c r="A18" s="1"/>
      <c r="B18" s="1163"/>
      <c r="C18" s="1164"/>
      <c r="D18" s="48"/>
      <c r="E18" s="45"/>
      <c r="F18" s="45"/>
      <c r="G18" s="45"/>
      <c r="H18" s="46"/>
      <c r="I18" s="45"/>
      <c r="J18" s="59"/>
      <c r="K18" s="44"/>
      <c r="L18" s="45"/>
      <c r="M18" s="46"/>
      <c r="N18" s="48"/>
      <c r="O18" s="49"/>
      <c r="P18" s="47"/>
      <c r="Q18" s="44"/>
      <c r="R18" s="45">
        <v>197</v>
      </c>
      <c r="S18" s="45"/>
      <c r="T18" s="45"/>
      <c r="U18" s="133">
        <v>456</v>
      </c>
      <c r="V18" s="170">
        <v>179.4</v>
      </c>
      <c r="W18" s="6" t="s">
        <v>50</v>
      </c>
    </row>
    <row r="19" spans="2:22" s="5" customFormat="1" ht="13.5" thickBot="1">
      <c r="B19" s="186" t="s">
        <v>21</v>
      </c>
      <c r="C19" s="190">
        <v>5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8"/>
      <c r="V19" s="171"/>
    </row>
    <row r="20" spans="2:23" s="1" customFormat="1" ht="13.5" thickBot="1">
      <c r="B20" s="1112" t="s">
        <v>27</v>
      </c>
      <c r="C20" s="1150"/>
      <c r="D20" s="52">
        <v>509</v>
      </c>
      <c r="E20" s="31">
        <v>138</v>
      </c>
      <c r="F20" s="53"/>
      <c r="G20" s="53"/>
      <c r="H20" s="53"/>
      <c r="I20" s="29"/>
      <c r="J20" s="30">
        <v>274</v>
      </c>
      <c r="K20" s="31"/>
      <c r="L20" s="53">
        <v>423</v>
      </c>
      <c r="M20" s="29"/>
      <c r="N20" s="52"/>
      <c r="O20" s="35"/>
      <c r="P20" s="30"/>
      <c r="Q20" s="31"/>
      <c r="R20" s="53">
        <v>127</v>
      </c>
      <c r="S20" s="53"/>
      <c r="T20" s="53"/>
      <c r="U20" s="130">
        <v>762</v>
      </c>
      <c r="V20" s="172">
        <v>148</v>
      </c>
      <c r="W20" s="1" t="s">
        <v>49</v>
      </c>
    </row>
    <row r="21" spans="2:22" s="1" customFormat="1" ht="13.5" thickBot="1">
      <c r="B21" s="1131"/>
      <c r="C21" s="1149"/>
      <c r="D21" s="48"/>
      <c r="E21" s="45">
        <v>432</v>
      </c>
      <c r="F21" s="45"/>
      <c r="G21" s="45"/>
      <c r="H21" s="45"/>
      <c r="I21" s="46"/>
      <c r="J21" s="47"/>
      <c r="K21" s="44"/>
      <c r="L21" s="45"/>
      <c r="M21" s="46"/>
      <c r="N21" s="48"/>
      <c r="O21" s="49"/>
      <c r="P21" s="47"/>
      <c r="Q21" s="44"/>
      <c r="R21" s="45"/>
      <c r="S21" s="45"/>
      <c r="T21" s="45"/>
      <c r="U21" s="133"/>
      <c r="V21" s="1120"/>
    </row>
    <row r="22" spans="1:22" ht="13.5" thickBot="1">
      <c r="A22" s="5"/>
      <c r="B22" s="186" t="s">
        <v>21</v>
      </c>
      <c r="C22" s="190">
        <v>6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8"/>
      <c r="V22" s="1116"/>
    </row>
    <row r="23" spans="2:22" s="5" customFormat="1" ht="13.5" thickBot="1">
      <c r="B23" s="1112" t="s">
        <v>28</v>
      </c>
      <c r="C23" s="1150"/>
      <c r="D23" s="52">
        <v>75</v>
      </c>
      <c r="E23" s="53"/>
      <c r="F23" s="53"/>
      <c r="G23" s="53"/>
      <c r="H23" s="53"/>
      <c r="I23" s="29">
        <v>522</v>
      </c>
      <c r="J23" s="30">
        <v>162</v>
      </c>
      <c r="K23" s="31">
        <v>650</v>
      </c>
      <c r="L23" s="53"/>
      <c r="M23" s="29"/>
      <c r="N23" s="52"/>
      <c r="O23" s="35"/>
      <c r="P23" s="30"/>
      <c r="Q23" s="31">
        <v>194</v>
      </c>
      <c r="R23" s="53"/>
      <c r="S23" s="53"/>
      <c r="T23" s="53"/>
      <c r="U23" s="130"/>
      <c r="V23" s="1116"/>
    </row>
    <row r="24" spans="2:22" s="5" customFormat="1" ht="13.5" thickBot="1">
      <c r="B24" s="1128"/>
      <c r="C24" s="1149"/>
      <c r="D24" s="42">
        <v>546</v>
      </c>
      <c r="E24" s="9"/>
      <c r="F24" s="9"/>
      <c r="G24" s="9"/>
      <c r="H24" s="9"/>
      <c r="I24" s="39"/>
      <c r="J24" s="40"/>
      <c r="K24" s="41"/>
      <c r="L24" s="9"/>
      <c r="M24" s="39"/>
      <c r="N24" s="42"/>
      <c r="O24" s="43"/>
      <c r="P24" s="40"/>
      <c r="Q24" s="41"/>
      <c r="R24" s="9"/>
      <c r="S24" s="9"/>
      <c r="T24" s="9"/>
      <c r="U24" s="131"/>
      <c r="V24" s="1116"/>
    </row>
    <row r="25" spans="2:22" s="5" customFormat="1" ht="12.75">
      <c r="B25" s="186" t="s">
        <v>21</v>
      </c>
      <c r="C25" s="190">
        <v>7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134"/>
      <c r="V25" s="1116"/>
    </row>
    <row r="26" spans="2:22" s="1" customFormat="1" ht="13.5" thickBot="1">
      <c r="B26" s="1112" t="s">
        <v>41</v>
      </c>
      <c r="C26" s="1150"/>
      <c r="D26" s="42">
        <v>370</v>
      </c>
      <c r="E26" s="9"/>
      <c r="F26" s="9"/>
      <c r="G26" s="9"/>
      <c r="H26" s="9"/>
      <c r="I26" s="39">
        <v>120</v>
      </c>
      <c r="J26" s="40">
        <v>42</v>
      </c>
      <c r="K26" s="61"/>
      <c r="L26" s="9"/>
      <c r="M26" s="61"/>
      <c r="N26" s="42">
        <v>98</v>
      </c>
      <c r="O26" s="43"/>
      <c r="P26" s="40"/>
      <c r="Q26" s="41"/>
      <c r="R26" s="9"/>
      <c r="S26" s="9"/>
      <c r="T26" s="9"/>
      <c r="U26" s="131"/>
      <c r="V26" s="1116"/>
    </row>
    <row r="27" spans="2:22" s="1" customFormat="1" ht="13.5" thickBot="1">
      <c r="B27" s="1128"/>
      <c r="C27" s="1139"/>
      <c r="D27" s="48"/>
      <c r="E27" s="45"/>
      <c r="F27" s="45"/>
      <c r="G27" s="45"/>
      <c r="H27" s="45"/>
      <c r="I27" s="46"/>
      <c r="J27" s="47"/>
      <c r="K27" s="44"/>
      <c r="L27" s="45"/>
      <c r="M27" s="49"/>
      <c r="N27" s="44">
        <v>627</v>
      </c>
      <c r="O27" s="46"/>
      <c r="P27" s="47"/>
      <c r="Q27" s="44"/>
      <c r="R27" s="45"/>
      <c r="S27" s="45"/>
      <c r="T27" s="45"/>
      <c r="U27" s="133"/>
      <c r="V27" s="1116"/>
    </row>
    <row r="28" spans="2:22" s="5" customFormat="1" ht="13.5" thickBot="1">
      <c r="B28" s="186" t="s">
        <v>21</v>
      </c>
      <c r="C28" s="190">
        <v>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8"/>
      <c r="V28" s="1116"/>
    </row>
    <row r="29" spans="1:22" s="5" customFormat="1" ht="13.5" thickBot="1">
      <c r="A29" s="1"/>
      <c r="B29" s="1140" t="s">
        <v>42</v>
      </c>
      <c r="C29" s="1141"/>
      <c r="D29" s="62"/>
      <c r="E29" s="63"/>
      <c r="F29" s="63"/>
      <c r="G29" s="63"/>
      <c r="H29" s="63"/>
      <c r="I29" s="64"/>
      <c r="J29" s="65"/>
      <c r="K29" s="66"/>
      <c r="L29" s="63"/>
      <c r="M29" s="64"/>
      <c r="N29" s="62"/>
      <c r="O29" s="67"/>
      <c r="P29" s="65"/>
      <c r="Q29" s="66"/>
      <c r="R29" s="63"/>
      <c r="S29" s="63"/>
      <c r="T29" s="63"/>
      <c r="U29" s="135"/>
      <c r="V29" s="1116"/>
    </row>
    <row r="30" spans="1:22" ht="13.5" thickBot="1">
      <c r="A30" s="5"/>
      <c r="B30" s="186" t="s">
        <v>21</v>
      </c>
      <c r="C30" s="190">
        <v>9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136"/>
      <c r="V30" s="1116"/>
    </row>
    <row r="31" spans="1:22" ht="13.5" thickBot="1">
      <c r="A31" s="5"/>
      <c r="B31" s="1112" t="s">
        <v>43</v>
      </c>
      <c r="C31" s="1113"/>
      <c r="D31" s="69">
        <v>250</v>
      </c>
      <c r="E31" s="53">
        <v>381</v>
      </c>
      <c r="F31" s="70"/>
      <c r="G31" s="71"/>
      <c r="H31" s="71"/>
      <c r="I31" s="72"/>
      <c r="J31" s="73"/>
      <c r="K31" s="70"/>
      <c r="L31" s="71">
        <v>379</v>
      </c>
      <c r="M31" s="72"/>
      <c r="N31" s="74"/>
      <c r="O31" s="75"/>
      <c r="P31" s="73"/>
      <c r="Q31" s="70"/>
      <c r="R31" s="71">
        <v>384</v>
      </c>
      <c r="S31" s="71"/>
      <c r="T31" s="71"/>
      <c r="U31" s="137"/>
      <c r="V31" s="1116"/>
    </row>
    <row r="32" spans="1:22" ht="13.5" thickBot="1">
      <c r="A32" s="5"/>
      <c r="B32" s="1124"/>
      <c r="C32" s="1125"/>
      <c r="D32" s="48"/>
      <c r="E32" s="76">
        <v>159</v>
      </c>
      <c r="F32" s="77"/>
      <c r="G32" s="77"/>
      <c r="H32" s="77"/>
      <c r="I32" s="78"/>
      <c r="J32" s="79"/>
      <c r="K32" s="80"/>
      <c r="L32" s="77"/>
      <c r="M32" s="78"/>
      <c r="N32" s="81"/>
      <c r="O32" s="82"/>
      <c r="P32" s="79"/>
      <c r="Q32" s="80"/>
      <c r="R32" s="77"/>
      <c r="S32" s="77"/>
      <c r="T32" s="77"/>
      <c r="U32" s="138"/>
      <c r="V32" s="1116"/>
    </row>
    <row r="33" spans="2:22" s="5" customFormat="1" ht="13.5" thickBot="1">
      <c r="B33" s="186" t="s">
        <v>21</v>
      </c>
      <c r="C33" s="190">
        <v>10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8"/>
      <c r="V33" s="1116"/>
    </row>
    <row r="34" spans="2:22" s="1" customFormat="1" ht="13.5" thickBot="1">
      <c r="B34" s="1121" t="s">
        <v>44</v>
      </c>
      <c r="C34" s="1114"/>
      <c r="D34" s="13">
        <v>49</v>
      </c>
      <c r="E34" s="83">
        <v>124</v>
      </c>
      <c r="F34" s="83"/>
      <c r="G34" s="83"/>
      <c r="H34" s="83"/>
      <c r="I34" s="88"/>
      <c r="J34" s="17">
        <v>993</v>
      </c>
      <c r="K34" s="20"/>
      <c r="L34" s="83"/>
      <c r="M34" s="88"/>
      <c r="N34" s="13"/>
      <c r="O34" s="94"/>
      <c r="P34" s="17"/>
      <c r="Q34" s="20"/>
      <c r="R34" s="83">
        <v>439</v>
      </c>
      <c r="S34" s="83"/>
      <c r="T34" s="83"/>
      <c r="U34" s="139"/>
      <c r="V34" s="1116"/>
    </row>
    <row r="35" spans="2:22" s="1" customFormat="1" ht="12.75">
      <c r="B35" s="1124"/>
      <c r="C35" s="1125"/>
      <c r="D35" s="42"/>
      <c r="E35" s="9">
        <v>280</v>
      </c>
      <c r="F35" s="9"/>
      <c r="G35" s="9"/>
      <c r="H35" s="9"/>
      <c r="I35" s="39"/>
      <c r="J35" s="40"/>
      <c r="K35" s="41"/>
      <c r="L35" s="9"/>
      <c r="M35" s="39"/>
      <c r="N35" s="42"/>
      <c r="O35" s="43"/>
      <c r="P35" s="40"/>
      <c r="Q35" s="41"/>
      <c r="R35" s="9"/>
      <c r="S35" s="9"/>
      <c r="T35" s="9"/>
      <c r="U35" s="131"/>
      <c r="V35" s="1116"/>
    </row>
    <row r="36" spans="2:22" s="1" customFormat="1" ht="13.5" thickBot="1">
      <c r="B36" s="1130"/>
      <c r="C36" s="1125"/>
      <c r="D36" s="42"/>
      <c r="E36" s="9">
        <v>321</v>
      </c>
      <c r="F36" s="9"/>
      <c r="G36" s="9"/>
      <c r="H36" s="9"/>
      <c r="I36" s="39"/>
      <c r="J36" s="40"/>
      <c r="K36" s="41"/>
      <c r="L36" s="9"/>
      <c r="M36" s="39"/>
      <c r="N36" s="42"/>
      <c r="O36" s="43"/>
      <c r="P36" s="40"/>
      <c r="Q36" s="41"/>
      <c r="R36" s="9"/>
      <c r="S36" s="9"/>
      <c r="T36" s="9"/>
      <c r="U36" s="131"/>
      <c r="V36" s="1116"/>
    </row>
    <row r="37" spans="2:22" s="5" customFormat="1" ht="13.5" thickBot="1">
      <c r="B37" s="186" t="s">
        <v>21</v>
      </c>
      <c r="C37" s="190">
        <v>11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136"/>
      <c r="V37" s="1116"/>
    </row>
    <row r="38" spans="2:22" s="1" customFormat="1" ht="13.5" thickBot="1">
      <c r="B38" s="1122" t="s">
        <v>31</v>
      </c>
      <c r="C38" s="1123"/>
      <c r="D38" s="54"/>
      <c r="E38" s="108">
        <v>47</v>
      </c>
      <c r="F38" s="55"/>
      <c r="G38" s="109"/>
      <c r="H38" s="110"/>
      <c r="I38" s="56"/>
      <c r="J38" s="57"/>
      <c r="K38" s="111"/>
      <c r="L38" s="55"/>
      <c r="M38" s="56"/>
      <c r="N38" s="54"/>
      <c r="O38" s="56">
        <v>85</v>
      </c>
      <c r="P38" s="57"/>
      <c r="Q38" s="55"/>
      <c r="R38" s="110">
        <v>85</v>
      </c>
      <c r="S38" s="55"/>
      <c r="T38" s="109"/>
      <c r="U38" s="141"/>
      <c r="V38" s="1116"/>
    </row>
    <row r="39" spans="2:23" s="5" customFormat="1" ht="13.5" thickBot="1">
      <c r="B39" s="186" t="s">
        <v>21</v>
      </c>
      <c r="C39" s="190">
        <v>12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136"/>
      <c r="V39" s="1116"/>
      <c r="W39" s="7"/>
    </row>
    <row r="40" spans="2:23" s="1" customFormat="1" ht="13.5" thickBot="1">
      <c r="B40" s="1112" t="s">
        <v>32</v>
      </c>
      <c r="C40" s="1113"/>
      <c r="D40" s="62">
        <v>368</v>
      </c>
      <c r="E40" s="112">
        <v>662</v>
      </c>
      <c r="F40" s="63">
        <v>141</v>
      </c>
      <c r="G40" s="63"/>
      <c r="H40" s="63"/>
      <c r="I40" s="113"/>
      <c r="J40" s="65"/>
      <c r="K40" s="62">
        <v>335</v>
      </c>
      <c r="L40" s="63"/>
      <c r="M40" s="113"/>
      <c r="N40" s="62">
        <v>702</v>
      </c>
      <c r="O40" s="114"/>
      <c r="P40" s="65"/>
      <c r="Q40" s="62">
        <v>137</v>
      </c>
      <c r="R40" s="113"/>
      <c r="S40" s="113"/>
      <c r="T40" s="63">
        <v>1000</v>
      </c>
      <c r="U40" s="142"/>
      <c r="V40" s="1116"/>
      <c r="W40" s="7"/>
    </row>
    <row r="41" spans="2:23" s="5" customFormat="1" ht="13.5" thickBot="1">
      <c r="B41" s="186" t="s">
        <v>21</v>
      </c>
      <c r="C41" s="190">
        <v>13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8"/>
      <c r="V41" s="1116"/>
      <c r="W41" s="7"/>
    </row>
    <row r="42" spans="1:23" ht="13.5" thickBot="1">
      <c r="A42" s="5"/>
      <c r="B42" s="1112" t="s">
        <v>33</v>
      </c>
      <c r="C42" s="1113"/>
      <c r="D42" s="13">
        <v>153</v>
      </c>
      <c r="E42" s="83"/>
      <c r="F42" s="83"/>
      <c r="G42" s="83"/>
      <c r="H42" s="83"/>
      <c r="I42" s="88">
        <v>144</v>
      </c>
      <c r="J42" s="17"/>
      <c r="K42" s="20">
        <v>282</v>
      </c>
      <c r="L42" s="83">
        <v>574</v>
      </c>
      <c r="M42" s="94"/>
      <c r="N42" s="20"/>
      <c r="O42" s="88"/>
      <c r="P42" s="17"/>
      <c r="Q42" s="20"/>
      <c r="R42" s="83"/>
      <c r="S42" s="83"/>
      <c r="T42" s="83"/>
      <c r="U42" s="139"/>
      <c r="V42" s="1116"/>
      <c r="W42" s="7"/>
    </row>
    <row r="43" spans="1:22" ht="12.75">
      <c r="A43" s="5"/>
      <c r="B43" s="1124"/>
      <c r="C43" s="1125"/>
      <c r="D43" s="42">
        <v>465</v>
      </c>
      <c r="E43" s="9">
        <v>112</v>
      </c>
      <c r="F43" s="9">
        <v>195</v>
      </c>
      <c r="G43" s="9"/>
      <c r="H43" s="9"/>
      <c r="I43" s="39">
        <v>238</v>
      </c>
      <c r="J43" s="40"/>
      <c r="K43" s="41">
        <v>209</v>
      </c>
      <c r="L43" s="9">
        <v>753</v>
      </c>
      <c r="M43" s="43"/>
      <c r="N43" s="41"/>
      <c r="O43" s="39"/>
      <c r="P43" s="40"/>
      <c r="Q43" s="41"/>
      <c r="R43" s="9"/>
      <c r="S43" s="9"/>
      <c r="T43" s="9"/>
      <c r="U43" s="131"/>
      <c r="V43" s="1116"/>
    </row>
    <row r="44" spans="1:22" ht="12.75">
      <c r="A44" s="5"/>
      <c r="B44" s="1130"/>
      <c r="C44" s="1125"/>
      <c r="D44" s="42"/>
      <c r="E44" s="9">
        <v>64</v>
      </c>
      <c r="F44" s="9"/>
      <c r="G44" s="9"/>
      <c r="H44" s="9"/>
      <c r="I44" s="39"/>
      <c r="J44" s="40"/>
      <c r="K44" s="41"/>
      <c r="L44" s="9">
        <v>86</v>
      </c>
      <c r="M44" s="43"/>
      <c r="N44" s="41"/>
      <c r="O44" s="39"/>
      <c r="P44" s="40"/>
      <c r="Q44" s="41"/>
      <c r="R44" s="9"/>
      <c r="S44" s="9"/>
      <c r="T44" s="9"/>
      <c r="U44" s="131"/>
      <c r="V44" s="1116"/>
    </row>
    <row r="45" spans="1:22" ht="13.5" thickBot="1">
      <c r="A45" s="5"/>
      <c r="B45" s="1130"/>
      <c r="C45" s="1125"/>
      <c r="D45" s="105"/>
      <c r="E45" s="102"/>
      <c r="F45" s="102"/>
      <c r="G45" s="102"/>
      <c r="H45" s="102"/>
      <c r="I45" s="91"/>
      <c r="J45" s="104"/>
      <c r="K45" s="87"/>
      <c r="L45" s="90">
        <v>646</v>
      </c>
      <c r="M45" s="93"/>
      <c r="N45" s="87"/>
      <c r="O45" s="91"/>
      <c r="P45" s="89"/>
      <c r="Q45" s="87"/>
      <c r="R45" s="90"/>
      <c r="S45" s="90"/>
      <c r="T45" s="90"/>
      <c r="U45" s="140"/>
      <c r="V45" s="1116"/>
    </row>
    <row r="46" spans="2:22" s="5" customFormat="1" ht="13.5" thickBot="1">
      <c r="B46" s="186" t="s">
        <v>21</v>
      </c>
      <c r="C46" s="190">
        <v>14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136"/>
      <c r="V46" s="1117"/>
    </row>
    <row r="47" spans="2:22" s="1" customFormat="1" ht="13.5" thickBot="1">
      <c r="B47" s="1112" t="s">
        <v>34</v>
      </c>
      <c r="C47" s="1113"/>
      <c r="D47" s="52">
        <v>607</v>
      </c>
      <c r="E47" s="53"/>
      <c r="F47" s="53"/>
      <c r="G47" s="53"/>
      <c r="H47" s="53">
        <v>652</v>
      </c>
      <c r="I47" s="29"/>
      <c r="J47" s="30"/>
      <c r="K47" s="31"/>
      <c r="L47" s="53"/>
      <c r="M47" s="29"/>
      <c r="N47" s="52">
        <v>463</v>
      </c>
      <c r="O47" s="35"/>
      <c r="P47" s="30">
        <v>358</v>
      </c>
      <c r="Q47" s="31"/>
      <c r="R47" s="53">
        <v>55</v>
      </c>
      <c r="S47" s="53"/>
      <c r="T47" s="53"/>
      <c r="U47" s="130">
        <v>254</v>
      </c>
      <c r="V47" s="170">
        <v>398</v>
      </c>
    </row>
    <row r="48" spans="2:22" s="1" customFormat="1" ht="13.5" thickBot="1">
      <c r="B48" s="1124"/>
      <c r="C48" s="1125"/>
      <c r="D48" s="48"/>
      <c r="E48" s="45"/>
      <c r="F48" s="45"/>
      <c r="G48" s="45"/>
      <c r="H48" s="45"/>
      <c r="I48" s="46"/>
      <c r="J48" s="47"/>
      <c r="K48" s="44"/>
      <c r="L48" s="45"/>
      <c r="M48" s="46"/>
      <c r="N48" s="48">
        <v>837</v>
      </c>
      <c r="O48" s="49"/>
      <c r="P48" s="47">
        <v>980</v>
      </c>
      <c r="Q48" s="44"/>
      <c r="R48" s="45"/>
      <c r="S48" s="45"/>
      <c r="T48" s="45"/>
      <c r="U48" s="133"/>
      <c r="V48" s="1120"/>
    </row>
    <row r="49" spans="2:22" s="5" customFormat="1" ht="13.5" thickBot="1">
      <c r="B49" s="186" t="s">
        <v>21</v>
      </c>
      <c r="C49" s="190">
        <v>15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143"/>
      <c r="V49" s="1116"/>
    </row>
    <row r="50" spans="1:22" s="6" customFormat="1" ht="13.5" thickBot="1">
      <c r="A50" s="1"/>
      <c r="B50" s="1112" t="s">
        <v>25</v>
      </c>
      <c r="C50" s="1113"/>
      <c r="D50" s="52">
        <v>484</v>
      </c>
      <c r="E50" s="115">
        <v>821</v>
      </c>
      <c r="F50" s="53">
        <v>763</v>
      </c>
      <c r="G50" s="31"/>
      <c r="H50" s="55"/>
      <c r="I50" s="35"/>
      <c r="J50" s="57"/>
      <c r="K50" s="52"/>
      <c r="L50" s="31"/>
      <c r="M50" s="35"/>
      <c r="N50" s="54"/>
      <c r="O50" s="35">
        <v>351</v>
      </c>
      <c r="P50" s="57"/>
      <c r="Q50" s="55"/>
      <c r="R50" s="53"/>
      <c r="S50" s="55"/>
      <c r="T50" s="55"/>
      <c r="U50" s="130"/>
      <c r="V50" s="1116"/>
    </row>
    <row r="51" spans="1:22" s="6" customFormat="1" ht="13.5" thickBot="1">
      <c r="A51" s="1"/>
      <c r="B51" s="1124"/>
      <c r="C51" s="1125"/>
      <c r="D51" s="48">
        <v>501</v>
      </c>
      <c r="E51" s="45"/>
      <c r="F51" s="45"/>
      <c r="G51" s="45"/>
      <c r="H51" s="45"/>
      <c r="I51" s="46"/>
      <c r="J51" s="47"/>
      <c r="K51" s="44"/>
      <c r="L51" s="45"/>
      <c r="M51" s="46"/>
      <c r="N51" s="48"/>
      <c r="O51" s="49"/>
      <c r="P51" s="47"/>
      <c r="Q51" s="44"/>
      <c r="R51" s="45"/>
      <c r="S51" s="45"/>
      <c r="T51" s="45"/>
      <c r="U51" s="133"/>
      <c r="V51" s="1116"/>
    </row>
    <row r="52" spans="2:22" s="5" customFormat="1" ht="13.5" thickBot="1">
      <c r="B52" s="186" t="s">
        <v>21</v>
      </c>
      <c r="C52" s="190">
        <v>16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143"/>
      <c r="V52" s="1116"/>
    </row>
    <row r="53" spans="2:22" s="1" customFormat="1" ht="12.75">
      <c r="B53" s="1142" t="s">
        <v>29</v>
      </c>
      <c r="C53" s="1143"/>
      <c r="D53" s="52">
        <v>364</v>
      </c>
      <c r="E53" s="53"/>
      <c r="F53" s="53"/>
      <c r="G53" s="53"/>
      <c r="H53" s="53"/>
      <c r="I53" s="53">
        <v>726</v>
      </c>
      <c r="J53" s="53"/>
      <c r="K53" s="53"/>
      <c r="L53" s="53"/>
      <c r="M53" s="53"/>
      <c r="N53" s="53"/>
      <c r="O53" s="53"/>
      <c r="P53" s="53"/>
      <c r="Q53" s="53">
        <v>243</v>
      </c>
      <c r="R53" s="53">
        <v>726</v>
      </c>
      <c r="S53" s="53"/>
      <c r="T53" s="53"/>
      <c r="U53" s="130"/>
      <c r="V53" s="1116"/>
    </row>
    <row r="54" spans="2:22" s="1" customFormat="1" ht="12.75">
      <c r="B54" s="1148"/>
      <c r="C54" s="1135"/>
      <c r="D54" s="42">
        <v>7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31"/>
      <c r="V54" s="1116"/>
    </row>
    <row r="55" spans="2:22" s="1" customFormat="1" ht="13.5" thickBot="1">
      <c r="B55" s="1138"/>
      <c r="C55" s="1114"/>
      <c r="D55" s="48">
        <v>987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133"/>
      <c r="V55" s="1116"/>
    </row>
    <row r="56" spans="2:22" s="5" customFormat="1" ht="13.5" thickBot="1">
      <c r="B56" s="186" t="s">
        <v>21</v>
      </c>
      <c r="C56" s="190">
        <v>17</v>
      </c>
      <c r="D56" s="86"/>
      <c r="E56" s="86"/>
      <c r="F56" s="86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8"/>
      <c r="V56" s="1116"/>
    </row>
    <row r="57" spans="2:22" s="1" customFormat="1" ht="12.75">
      <c r="B57" s="1142" t="s">
        <v>36</v>
      </c>
      <c r="C57" s="1143"/>
      <c r="D57" s="52">
        <v>200</v>
      </c>
      <c r="E57" s="50"/>
      <c r="F57" s="53"/>
      <c r="G57" s="53"/>
      <c r="H57" s="53"/>
      <c r="I57" s="35">
        <v>449</v>
      </c>
      <c r="J57" s="30"/>
      <c r="K57" s="52"/>
      <c r="L57" s="53"/>
      <c r="M57" s="35"/>
      <c r="N57" s="52"/>
      <c r="O57" s="35"/>
      <c r="P57" s="30"/>
      <c r="Q57" s="52"/>
      <c r="R57" s="53"/>
      <c r="S57" s="55"/>
      <c r="T57" s="29">
        <v>698</v>
      </c>
      <c r="U57" s="130"/>
      <c r="V57" s="1116"/>
    </row>
    <row r="58" spans="2:22" s="1" customFormat="1" ht="12.75">
      <c r="B58" s="1134"/>
      <c r="C58" s="1135"/>
      <c r="D58" s="42">
        <v>94</v>
      </c>
      <c r="E58" s="84"/>
      <c r="F58" s="9"/>
      <c r="G58" s="9"/>
      <c r="H58" s="9"/>
      <c r="I58" s="43"/>
      <c r="J58" s="40"/>
      <c r="K58" s="42"/>
      <c r="L58" s="9"/>
      <c r="M58" s="39"/>
      <c r="N58" s="42"/>
      <c r="O58" s="43"/>
      <c r="P58" s="40"/>
      <c r="Q58" s="41"/>
      <c r="R58" s="9"/>
      <c r="S58" s="2"/>
      <c r="T58" s="39"/>
      <c r="U58" s="131"/>
      <c r="V58" s="1116"/>
    </row>
    <row r="59" spans="2:22" s="1" customFormat="1" ht="12.75">
      <c r="B59" s="1130"/>
      <c r="C59" s="1125"/>
      <c r="D59" s="42">
        <v>262</v>
      </c>
      <c r="E59" s="84"/>
      <c r="F59" s="9"/>
      <c r="G59" s="9"/>
      <c r="H59" s="9"/>
      <c r="I59" s="43"/>
      <c r="J59" s="40"/>
      <c r="K59" s="42"/>
      <c r="L59" s="9"/>
      <c r="M59" s="39"/>
      <c r="N59" s="42"/>
      <c r="O59" s="43"/>
      <c r="P59" s="40"/>
      <c r="Q59" s="41"/>
      <c r="R59" s="9"/>
      <c r="S59" s="2"/>
      <c r="T59" s="39"/>
      <c r="U59" s="131"/>
      <c r="V59" s="1116"/>
    </row>
    <row r="60" spans="2:22" s="1" customFormat="1" ht="12.75">
      <c r="B60" s="1130"/>
      <c r="C60" s="1125"/>
      <c r="D60" s="42">
        <v>706</v>
      </c>
      <c r="E60" s="84"/>
      <c r="F60" s="9"/>
      <c r="G60" s="9"/>
      <c r="H60" s="9"/>
      <c r="I60" s="43"/>
      <c r="J60" s="40"/>
      <c r="K60" s="42"/>
      <c r="L60" s="9"/>
      <c r="M60" s="39"/>
      <c r="N60" s="42"/>
      <c r="O60" s="43"/>
      <c r="P60" s="40"/>
      <c r="Q60" s="41"/>
      <c r="R60" s="9"/>
      <c r="S60" s="2"/>
      <c r="T60" s="39"/>
      <c r="U60" s="131"/>
      <c r="V60" s="1116"/>
    </row>
    <row r="61" spans="2:22" s="1" customFormat="1" ht="13.5" thickBot="1">
      <c r="B61" s="1130"/>
      <c r="C61" s="1125"/>
      <c r="D61" s="92">
        <v>655</v>
      </c>
      <c r="E61" s="116"/>
      <c r="F61" s="90"/>
      <c r="G61" s="90"/>
      <c r="H61" s="90"/>
      <c r="I61" s="93"/>
      <c r="J61" s="89"/>
      <c r="K61" s="92"/>
      <c r="L61" s="90"/>
      <c r="M61" s="91"/>
      <c r="N61" s="92"/>
      <c r="O61" s="93"/>
      <c r="P61" s="89"/>
      <c r="Q61" s="87"/>
      <c r="R61" s="90"/>
      <c r="S61" s="2"/>
      <c r="T61" s="91"/>
      <c r="U61" s="140"/>
      <c r="V61" s="1116"/>
    </row>
    <row r="62" spans="2:22" s="5" customFormat="1" ht="13.5" thickBot="1">
      <c r="B62" s="186" t="s">
        <v>21</v>
      </c>
      <c r="C62" s="190">
        <v>18</v>
      </c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136"/>
      <c r="V62" s="1117"/>
    </row>
    <row r="63" spans="2:22" s="1" customFormat="1" ht="13.5" thickBot="1">
      <c r="B63" s="1112" t="s">
        <v>37</v>
      </c>
      <c r="C63" s="1114"/>
      <c r="D63" s="52">
        <v>470</v>
      </c>
      <c r="E63" s="53">
        <v>41</v>
      </c>
      <c r="F63" s="53"/>
      <c r="G63" s="53"/>
      <c r="H63" s="53"/>
      <c r="I63" s="29"/>
      <c r="J63" s="30"/>
      <c r="K63" s="31"/>
      <c r="L63" s="53"/>
      <c r="M63" s="29"/>
      <c r="N63" s="52"/>
      <c r="O63" s="29"/>
      <c r="P63" s="30"/>
      <c r="Q63" s="52"/>
      <c r="R63" s="53">
        <v>310</v>
      </c>
      <c r="S63" s="53"/>
      <c r="T63" s="53"/>
      <c r="U63" s="130">
        <v>957</v>
      </c>
      <c r="V63" s="173">
        <v>260</v>
      </c>
    </row>
    <row r="64" spans="2:22" s="1" customFormat="1" ht="13.5" thickBot="1">
      <c r="B64" s="187"/>
      <c r="C64" s="191"/>
      <c r="D64" s="48">
        <v>344</v>
      </c>
      <c r="E64" s="45"/>
      <c r="F64" s="45"/>
      <c r="G64" s="45"/>
      <c r="H64" s="45"/>
      <c r="I64" s="46"/>
      <c r="J64" s="47"/>
      <c r="K64" s="44"/>
      <c r="L64" s="45"/>
      <c r="M64" s="46"/>
      <c r="N64" s="48"/>
      <c r="O64" s="46"/>
      <c r="P64" s="47"/>
      <c r="Q64" s="48"/>
      <c r="R64" s="45">
        <v>108</v>
      </c>
      <c r="S64" s="45"/>
      <c r="T64" s="45"/>
      <c r="U64" s="133"/>
      <c r="V64" s="169"/>
    </row>
    <row r="65" spans="2:22" s="5" customFormat="1" ht="13.5" thickBot="1">
      <c r="B65" s="186" t="s">
        <v>21</v>
      </c>
      <c r="C65" s="190">
        <v>19</v>
      </c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136"/>
      <c r="V65" s="1115"/>
    </row>
    <row r="66" spans="2:22" s="1" customFormat="1" ht="13.5" thickBot="1">
      <c r="B66" s="1112" t="s">
        <v>38</v>
      </c>
      <c r="C66" s="1113"/>
      <c r="D66" s="52">
        <v>682</v>
      </c>
      <c r="E66" s="53"/>
      <c r="F66" s="31">
        <v>283</v>
      </c>
      <c r="G66" s="53"/>
      <c r="H66" s="29"/>
      <c r="I66" s="29"/>
      <c r="J66" s="27">
        <v>263</v>
      </c>
      <c r="K66" s="52"/>
      <c r="L66" s="31"/>
      <c r="M66" s="29"/>
      <c r="N66" s="52"/>
      <c r="O66" s="35"/>
      <c r="P66" s="27"/>
      <c r="Q66" s="52">
        <v>48</v>
      </c>
      <c r="R66" s="31">
        <v>118</v>
      </c>
      <c r="S66" s="29"/>
      <c r="T66" s="53"/>
      <c r="U66" s="132"/>
      <c r="V66" s="1116"/>
    </row>
    <row r="67" spans="2:22" s="1" customFormat="1" ht="12.75">
      <c r="B67" s="1136"/>
      <c r="C67" s="1137"/>
      <c r="D67" s="13"/>
      <c r="E67" s="83"/>
      <c r="F67" s="41"/>
      <c r="G67" s="9"/>
      <c r="H67" s="39"/>
      <c r="I67" s="88"/>
      <c r="J67" s="40">
        <v>27</v>
      </c>
      <c r="K67" s="20"/>
      <c r="L67" s="41"/>
      <c r="M67" s="39"/>
      <c r="N67" s="42"/>
      <c r="O67" s="43"/>
      <c r="P67" s="40"/>
      <c r="Q67" s="20">
        <v>694</v>
      </c>
      <c r="R67" s="41">
        <v>985</v>
      </c>
      <c r="S67" s="39"/>
      <c r="T67" s="83"/>
      <c r="U67" s="144"/>
      <c r="V67" s="1116"/>
    </row>
    <row r="68" spans="2:22" s="1" customFormat="1" ht="13.5" thickBot="1">
      <c r="B68" s="1130"/>
      <c r="C68" s="1137"/>
      <c r="D68" s="117"/>
      <c r="E68" s="118"/>
      <c r="F68" s="90"/>
      <c r="G68" s="90"/>
      <c r="H68" s="90"/>
      <c r="I68" s="119"/>
      <c r="J68" s="89"/>
      <c r="K68" s="120"/>
      <c r="L68" s="90"/>
      <c r="M68" s="91"/>
      <c r="N68" s="92"/>
      <c r="O68" s="93"/>
      <c r="P68" s="89"/>
      <c r="Q68" s="120"/>
      <c r="R68" s="90"/>
      <c r="S68" s="90"/>
      <c r="T68" s="118"/>
      <c r="U68" s="145"/>
      <c r="V68" s="1116"/>
    </row>
    <row r="69" spans="2:22" s="5" customFormat="1" ht="13.5" thickBot="1">
      <c r="B69" s="186" t="s">
        <v>21</v>
      </c>
      <c r="C69" s="190">
        <v>20</v>
      </c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136"/>
      <c r="V69" s="1116"/>
    </row>
    <row r="70" spans="2:22" s="1" customFormat="1" ht="13.5" thickBot="1">
      <c r="B70" s="1112" t="s">
        <v>35</v>
      </c>
      <c r="C70" s="1113"/>
      <c r="D70" s="52">
        <v>895</v>
      </c>
      <c r="E70" s="53"/>
      <c r="F70" s="53"/>
      <c r="G70" s="53"/>
      <c r="H70" s="53"/>
      <c r="I70" s="29">
        <v>892</v>
      </c>
      <c r="J70" s="54">
        <v>896</v>
      </c>
      <c r="K70" s="52">
        <v>651</v>
      </c>
      <c r="L70" s="31">
        <v>273</v>
      </c>
      <c r="M70" s="29"/>
      <c r="N70" s="27"/>
      <c r="O70" s="29"/>
      <c r="P70" s="30"/>
      <c r="Q70" s="51"/>
      <c r="R70" s="175">
        <v>434</v>
      </c>
      <c r="S70" s="31"/>
      <c r="T70" s="53"/>
      <c r="U70" s="130"/>
      <c r="V70" s="1116"/>
    </row>
    <row r="71" spans="2:22" s="1" customFormat="1" ht="12.75">
      <c r="B71" s="1131"/>
      <c r="C71" s="1129"/>
      <c r="D71" s="42">
        <v>460</v>
      </c>
      <c r="E71" s="9"/>
      <c r="F71" s="9"/>
      <c r="G71" s="9"/>
      <c r="H71" s="9"/>
      <c r="I71" s="39"/>
      <c r="J71" s="40"/>
      <c r="K71" s="42">
        <v>168</v>
      </c>
      <c r="L71" s="9">
        <v>431</v>
      </c>
      <c r="M71" s="39"/>
      <c r="N71" s="42"/>
      <c r="O71" s="94"/>
      <c r="P71" s="40"/>
      <c r="Q71" s="61"/>
      <c r="R71" s="9"/>
      <c r="S71" s="41"/>
      <c r="T71" s="9"/>
      <c r="U71" s="131"/>
      <c r="V71" s="1116"/>
    </row>
    <row r="72" spans="2:22" s="1" customFormat="1" ht="13.5" thickBot="1">
      <c r="B72" s="1138"/>
      <c r="C72" s="1114"/>
      <c r="D72" s="92">
        <v>964</v>
      </c>
      <c r="E72" s="90"/>
      <c r="F72" s="90"/>
      <c r="G72" s="90"/>
      <c r="H72" s="90"/>
      <c r="I72" s="91"/>
      <c r="J72" s="85"/>
      <c r="K72" s="92"/>
      <c r="L72" s="181">
        <v>434</v>
      </c>
      <c r="M72" s="91"/>
      <c r="N72" s="92"/>
      <c r="O72" s="121"/>
      <c r="P72" s="89"/>
      <c r="Q72" s="122"/>
      <c r="R72" s="118"/>
      <c r="S72" s="87"/>
      <c r="T72" s="90"/>
      <c r="U72" s="140"/>
      <c r="V72" s="1116"/>
    </row>
    <row r="73" spans="1:22" ht="13.5" thickBot="1">
      <c r="A73" s="5"/>
      <c r="B73" s="186" t="s">
        <v>21</v>
      </c>
      <c r="C73" s="190">
        <v>21</v>
      </c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136"/>
      <c r="V73" s="1116"/>
    </row>
    <row r="74" spans="1:22" ht="13.5" thickBot="1">
      <c r="A74" s="5"/>
      <c r="B74" s="1112" t="s">
        <v>39</v>
      </c>
      <c r="C74" s="1113"/>
      <c r="D74" s="74">
        <v>973</v>
      </c>
      <c r="E74" s="71">
        <v>35</v>
      </c>
      <c r="F74" s="71">
        <v>684</v>
      </c>
      <c r="G74" s="71">
        <v>499</v>
      </c>
      <c r="H74" s="71"/>
      <c r="I74" s="72">
        <v>317</v>
      </c>
      <c r="J74" s="73"/>
      <c r="K74" s="70"/>
      <c r="L74" s="71">
        <v>471</v>
      </c>
      <c r="M74" s="72"/>
      <c r="N74" s="74"/>
      <c r="O74" s="75">
        <v>981</v>
      </c>
      <c r="P74" s="73">
        <v>514</v>
      </c>
      <c r="Q74" s="70">
        <v>183</v>
      </c>
      <c r="R74" s="71"/>
      <c r="S74" s="71"/>
      <c r="T74" s="71"/>
      <c r="U74" s="137"/>
      <c r="V74" s="1116"/>
    </row>
    <row r="75" spans="1:22" ht="12.75">
      <c r="A75" s="5"/>
      <c r="B75" s="1128"/>
      <c r="C75" s="1129"/>
      <c r="D75" s="99">
        <v>322</v>
      </c>
      <c r="E75" s="96">
        <v>572</v>
      </c>
      <c r="F75" s="96">
        <v>462</v>
      </c>
      <c r="G75" s="96"/>
      <c r="H75" s="96"/>
      <c r="I75" s="97">
        <v>915</v>
      </c>
      <c r="J75" s="98"/>
      <c r="K75" s="95"/>
      <c r="L75" s="96">
        <v>1261</v>
      </c>
      <c r="M75" s="97"/>
      <c r="N75" s="99"/>
      <c r="O75" s="100"/>
      <c r="P75" s="98"/>
      <c r="Q75" s="95"/>
      <c r="R75" s="96"/>
      <c r="S75" s="96"/>
      <c r="T75" s="96"/>
      <c r="U75" s="146"/>
      <c r="V75" s="1116"/>
    </row>
    <row r="76" spans="1:22" ht="12.75">
      <c r="A76" s="5"/>
      <c r="B76" s="1130"/>
      <c r="C76" s="1125"/>
      <c r="D76" s="99"/>
      <c r="E76" s="96"/>
      <c r="F76" s="96"/>
      <c r="G76" s="96"/>
      <c r="H76" s="96"/>
      <c r="I76" s="97"/>
      <c r="J76" s="98"/>
      <c r="K76" s="95"/>
      <c r="L76" s="96"/>
      <c r="M76" s="97"/>
      <c r="N76" s="99"/>
      <c r="O76" s="100"/>
      <c r="P76" s="98"/>
      <c r="Q76" s="95"/>
      <c r="R76" s="96"/>
      <c r="S76" s="96"/>
      <c r="T76" s="96"/>
      <c r="U76" s="146"/>
      <c r="V76" s="1116"/>
    </row>
    <row r="77" spans="1:22" ht="13.5" thickBot="1">
      <c r="A77" s="5"/>
      <c r="B77" s="1130"/>
      <c r="C77" s="1125"/>
      <c r="D77" s="81"/>
      <c r="E77" s="77"/>
      <c r="F77" s="77"/>
      <c r="G77" s="77"/>
      <c r="H77" s="77"/>
      <c r="I77" s="78"/>
      <c r="J77" s="79"/>
      <c r="K77" s="80"/>
      <c r="L77" s="77"/>
      <c r="M77" s="78"/>
      <c r="N77" s="81"/>
      <c r="O77" s="82"/>
      <c r="P77" s="79"/>
      <c r="Q77" s="80"/>
      <c r="R77" s="77"/>
      <c r="S77" s="77"/>
      <c r="T77" s="77"/>
      <c r="U77" s="138"/>
      <c r="V77" s="1116"/>
    </row>
    <row r="78" spans="1:22" ht="13.5" thickBot="1">
      <c r="A78" s="5"/>
      <c r="B78" s="186" t="s">
        <v>21</v>
      </c>
      <c r="C78" s="190">
        <v>22</v>
      </c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136"/>
      <c r="V78" s="1117"/>
    </row>
    <row r="79" spans="1:23" ht="13.5" thickBot="1">
      <c r="A79" s="5"/>
      <c r="B79" s="1112" t="s">
        <v>30</v>
      </c>
      <c r="C79" s="1113"/>
      <c r="D79" s="123">
        <v>281</v>
      </c>
      <c r="E79" s="71">
        <v>569</v>
      </c>
      <c r="F79" s="71">
        <v>24</v>
      </c>
      <c r="G79" s="71"/>
      <c r="H79" s="71"/>
      <c r="I79" s="72">
        <v>154</v>
      </c>
      <c r="J79" s="179">
        <v>767</v>
      </c>
      <c r="K79" s="70">
        <v>319</v>
      </c>
      <c r="L79" s="71"/>
      <c r="M79" s="72"/>
      <c r="N79" s="74">
        <v>748</v>
      </c>
      <c r="O79" s="75">
        <v>979</v>
      </c>
      <c r="P79" s="73">
        <v>599</v>
      </c>
      <c r="Q79" s="70"/>
      <c r="R79" s="175">
        <v>978</v>
      </c>
      <c r="S79" s="71"/>
      <c r="T79" s="71"/>
      <c r="U79" s="137">
        <v>683</v>
      </c>
      <c r="V79" s="173">
        <v>319</v>
      </c>
      <c r="W79" t="s">
        <v>48</v>
      </c>
    </row>
    <row r="80" spans="1:22" ht="13.5" thickBot="1">
      <c r="A80" s="5"/>
      <c r="B80" s="1131"/>
      <c r="C80" s="1129"/>
      <c r="D80" s="92">
        <v>4</v>
      </c>
      <c r="E80" s="87">
        <v>225</v>
      </c>
      <c r="F80" s="102"/>
      <c r="G80" s="102"/>
      <c r="H80" s="102"/>
      <c r="I80" s="103">
        <v>512</v>
      </c>
      <c r="J80" s="104"/>
      <c r="K80" s="101"/>
      <c r="L80" s="102"/>
      <c r="M80" s="103"/>
      <c r="N80" s="105"/>
      <c r="O80" s="106"/>
      <c r="P80" s="104"/>
      <c r="Q80" s="101"/>
      <c r="R80" s="102"/>
      <c r="S80" s="102"/>
      <c r="T80" s="102"/>
      <c r="U80" s="147"/>
      <c r="V80" s="182"/>
    </row>
    <row r="81" spans="1:23" ht="13.5" thickBot="1">
      <c r="A81" s="5"/>
      <c r="B81" s="1132"/>
      <c r="C81" s="1133"/>
      <c r="D81" s="148"/>
      <c r="E81" s="149"/>
      <c r="F81" s="149"/>
      <c r="G81" s="149"/>
      <c r="H81" s="149"/>
      <c r="I81" s="150">
        <v>608</v>
      </c>
      <c r="J81" s="151"/>
      <c r="K81" s="152"/>
      <c r="L81" s="149"/>
      <c r="M81" s="150"/>
      <c r="N81" s="152"/>
      <c r="O81" s="150"/>
      <c r="P81" s="151"/>
      <c r="Q81" s="152"/>
      <c r="R81" s="149"/>
      <c r="S81" s="149"/>
      <c r="T81" s="149"/>
      <c r="U81" s="153">
        <v>608</v>
      </c>
      <c r="V81" s="173">
        <v>181</v>
      </c>
      <c r="W81" s="5"/>
    </row>
    <row r="82" spans="1:22" ht="25.5" customHeight="1" thickBot="1" thickTop="1">
      <c r="A82" s="5"/>
      <c r="B82" s="1126" t="s">
        <v>45</v>
      </c>
      <c r="C82" s="1127"/>
      <c r="D82" s="154">
        <f aca="true" t="shared" si="0" ref="D82:U82">COUNTIF(D6:D81,"&gt;0")</f>
        <v>35</v>
      </c>
      <c r="E82" s="155">
        <f t="shared" si="0"/>
        <v>21</v>
      </c>
      <c r="F82" s="155">
        <f t="shared" si="0"/>
        <v>7</v>
      </c>
      <c r="G82" s="155">
        <f t="shared" si="0"/>
        <v>1</v>
      </c>
      <c r="H82" s="155">
        <f t="shared" si="0"/>
        <v>1</v>
      </c>
      <c r="I82" s="155">
        <f t="shared" si="0"/>
        <v>14</v>
      </c>
      <c r="J82" s="155">
        <f t="shared" si="0"/>
        <v>11</v>
      </c>
      <c r="K82" s="155">
        <f t="shared" si="0"/>
        <v>7</v>
      </c>
      <c r="L82" s="155">
        <f t="shared" si="0"/>
        <v>13</v>
      </c>
      <c r="M82" s="155">
        <f t="shared" si="0"/>
        <v>0</v>
      </c>
      <c r="N82" s="155">
        <f t="shared" si="0"/>
        <v>6</v>
      </c>
      <c r="O82" s="155">
        <f t="shared" si="0"/>
        <v>7</v>
      </c>
      <c r="P82" s="155">
        <f t="shared" si="0"/>
        <v>4</v>
      </c>
      <c r="Q82" s="155">
        <f t="shared" si="0"/>
        <v>8</v>
      </c>
      <c r="R82" s="155">
        <f t="shared" si="0"/>
        <v>15</v>
      </c>
      <c r="S82" s="155">
        <f t="shared" si="0"/>
        <v>0</v>
      </c>
      <c r="T82" s="155">
        <f t="shared" si="0"/>
        <v>2</v>
      </c>
      <c r="U82" s="156">
        <f t="shared" si="0"/>
        <v>7</v>
      </c>
      <c r="V82" s="169"/>
    </row>
    <row r="83" spans="1:22" ht="26.25" customHeight="1" thickBot="1" thickTop="1">
      <c r="A83" s="5"/>
      <c r="B83" s="1157" t="s">
        <v>46</v>
      </c>
      <c r="C83" s="1158"/>
      <c r="D83" s="157">
        <f>D82*316.55</f>
        <v>11079.25</v>
      </c>
      <c r="E83" s="157">
        <f>(E82*118.06)-118.06+57.42</f>
        <v>2418.6200000000003</v>
      </c>
      <c r="F83" s="157">
        <f>F82*228</f>
        <v>1596</v>
      </c>
      <c r="G83" s="157">
        <f>G82*120</f>
        <v>120</v>
      </c>
      <c r="H83" s="157">
        <f>H82*81</f>
        <v>81</v>
      </c>
      <c r="I83" s="157">
        <f>I82*98</f>
        <v>1372</v>
      </c>
      <c r="J83" s="157">
        <f>(J82*719.05)-719.05</f>
        <v>7190.499999999999</v>
      </c>
      <c r="K83" s="157">
        <f>K82*157.5</f>
        <v>1102.5</v>
      </c>
      <c r="L83" s="157">
        <f>L82*131</f>
        <v>1703</v>
      </c>
      <c r="M83" s="157">
        <f>M82*373</f>
        <v>0</v>
      </c>
      <c r="N83" s="157">
        <f>N82*82.66</f>
        <v>495.96</v>
      </c>
      <c r="O83" s="157">
        <f>O82*145.76</f>
        <v>1020.3199999999999</v>
      </c>
      <c r="P83" s="157">
        <f>P82*189</f>
        <v>756</v>
      </c>
      <c r="Q83" s="157">
        <f>Q82*300</f>
        <v>2400</v>
      </c>
      <c r="R83" s="157">
        <f>(R82*181)-181+138+398</f>
        <v>3070</v>
      </c>
      <c r="S83" s="158">
        <f>S82*373</f>
        <v>0</v>
      </c>
      <c r="T83" s="157">
        <f>T82*300</f>
        <v>600</v>
      </c>
      <c r="U83" s="176">
        <f>V17+V18+V20+V47++V63+V79+V81</f>
        <v>1664.8</v>
      </c>
      <c r="V83" s="174"/>
    </row>
    <row r="84" spans="2:21" ht="31.5" customHeight="1" thickTop="1">
      <c r="B84" s="1146" t="s">
        <v>51</v>
      </c>
      <c r="C84" s="1147"/>
      <c r="D84" s="159" t="s">
        <v>52</v>
      </c>
      <c r="E84" s="159" t="s">
        <v>52</v>
      </c>
      <c r="F84" s="159" t="s">
        <v>52</v>
      </c>
      <c r="G84" s="159" t="s">
        <v>59</v>
      </c>
      <c r="H84" s="159" t="s">
        <v>59</v>
      </c>
      <c r="I84" s="159" t="s">
        <v>53</v>
      </c>
      <c r="J84" s="159" t="s">
        <v>54</v>
      </c>
      <c r="K84" s="159" t="s">
        <v>54</v>
      </c>
      <c r="L84" s="159" t="s">
        <v>55</v>
      </c>
      <c r="M84" s="166"/>
      <c r="N84" s="159" t="s">
        <v>54</v>
      </c>
      <c r="O84" s="159" t="s">
        <v>54</v>
      </c>
      <c r="P84" s="159" t="s">
        <v>60</v>
      </c>
      <c r="Q84" s="160" t="s">
        <v>56</v>
      </c>
      <c r="R84" s="159" t="s">
        <v>52</v>
      </c>
      <c r="S84" s="159"/>
      <c r="T84" s="160" t="s">
        <v>56</v>
      </c>
      <c r="U84" s="161" t="s">
        <v>57</v>
      </c>
    </row>
    <row r="85" spans="2:21" ht="15" customHeight="1" thickBot="1"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</row>
    <row r="86" spans="2:8" ht="21" thickBot="1">
      <c r="B86" s="1144" t="s">
        <v>58</v>
      </c>
      <c r="C86" s="1145"/>
      <c r="D86" s="1145"/>
      <c r="E86" s="1145"/>
      <c r="F86" s="1039">
        <f>D82+E82+F82+G82+H82+I82+J82+K82+L82+M82+N82+O82+P82+Q82+R82+T82+U82</f>
        <v>159</v>
      </c>
      <c r="H86" s="107"/>
    </row>
  </sheetData>
  <sheetProtection/>
  <mergeCells count="54">
    <mergeCell ref="B12:C13"/>
    <mergeCell ref="B11:C11"/>
    <mergeCell ref="B83:C83"/>
    <mergeCell ref="B4:C5"/>
    <mergeCell ref="B15:C15"/>
    <mergeCell ref="B17:C17"/>
    <mergeCell ref="B20:C20"/>
    <mergeCell ref="B18:C18"/>
    <mergeCell ref="B21:C21"/>
    <mergeCell ref="B23:C23"/>
    <mergeCell ref="Q4:U4"/>
    <mergeCell ref="D4:I4"/>
    <mergeCell ref="K4:M4"/>
    <mergeCell ref="N4:O4"/>
    <mergeCell ref="J4:J5"/>
    <mergeCell ref="P4:P5"/>
    <mergeCell ref="B7:C7"/>
    <mergeCell ref="B9:C9"/>
    <mergeCell ref="B86:E86"/>
    <mergeCell ref="B84:C84"/>
    <mergeCell ref="B51:C51"/>
    <mergeCell ref="B54:C55"/>
    <mergeCell ref="B53:C53"/>
    <mergeCell ref="B57:C57"/>
    <mergeCell ref="B24:C24"/>
    <mergeCell ref="B26:C26"/>
    <mergeCell ref="B43:C45"/>
    <mergeCell ref="B27:C27"/>
    <mergeCell ref="B29:C29"/>
    <mergeCell ref="B31:C31"/>
    <mergeCell ref="B32:C32"/>
    <mergeCell ref="B35:C36"/>
    <mergeCell ref="B40:C40"/>
    <mergeCell ref="B42:C42"/>
    <mergeCell ref="B82:C82"/>
    <mergeCell ref="B74:C74"/>
    <mergeCell ref="B75:C77"/>
    <mergeCell ref="B79:C79"/>
    <mergeCell ref="B80:C81"/>
    <mergeCell ref="B58:C61"/>
    <mergeCell ref="B66:C66"/>
    <mergeCell ref="B67:C68"/>
    <mergeCell ref="B71:C72"/>
    <mergeCell ref="B70:C70"/>
    <mergeCell ref="B47:C47"/>
    <mergeCell ref="B63:C63"/>
    <mergeCell ref="V65:V78"/>
    <mergeCell ref="V6:V16"/>
    <mergeCell ref="V48:V62"/>
    <mergeCell ref="V21:V46"/>
    <mergeCell ref="B34:C34"/>
    <mergeCell ref="B38:C38"/>
    <mergeCell ref="B48:C48"/>
    <mergeCell ref="B50:C50"/>
  </mergeCells>
  <printOptions/>
  <pageMargins left="0.47" right="0.19" top="0.16" bottom="0.3" header="0.27" footer="0.33"/>
  <pageSetup fitToHeight="1" fitToWidth="1" horizontalDpi="600" verticalDpi="600" orientation="landscape" paperSize="8" scale="62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AD78"/>
  <sheetViews>
    <sheetView showGridLines="0" zoomScalePageLayoutView="0" workbookViewId="0" topLeftCell="A1">
      <pane ySplit="5" topLeftCell="A39" activePane="bottomLeft" state="frozen"/>
      <selection pane="topLeft" activeCell="K1" sqref="K1"/>
      <selection pane="bottomLeft" activeCell="A74" sqref="A74:IV74"/>
    </sheetView>
  </sheetViews>
  <sheetFormatPr defaultColWidth="11.421875" defaultRowHeight="12.75"/>
  <cols>
    <col min="1" max="1" width="2.421875" style="0" customWidth="1"/>
    <col min="2" max="2" width="12.7109375" style="0" customWidth="1"/>
    <col min="3" max="3" width="10.00390625" style="0" customWidth="1"/>
    <col min="4" max="4" width="9.28125" style="188" customWidth="1"/>
    <col min="5" max="5" width="10.421875" style="188" bestFit="1" customWidth="1"/>
    <col min="6" max="6" width="7.8515625" style="188" bestFit="1" customWidth="1"/>
    <col min="7" max="7" width="11.8515625" style="418" bestFit="1" customWidth="1"/>
    <col min="8" max="8" width="11.00390625" style="188" bestFit="1" customWidth="1"/>
    <col min="9" max="9" width="10.28125" style="418" bestFit="1" customWidth="1"/>
    <col min="10" max="10" width="9.00390625" style="418" bestFit="1" customWidth="1"/>
    <col min="11" max="11" width="16.140625" style="10" bestFit="1" customWidth="1"/>
    <col min="12" max="12" width="11.140625" style="10" bestFit="1" customWidth="1"/>
    <col min="13" max="13" width="11.00390625" style="10" bestFit="1" customWidth="1"/>
    <col min="14" max="14" width="15.8515625" style="10" customWidth="1"/>
    <col min="15" max="15" width="9.7109375" style="10" bestFit="1" customWidth="1"/>
    <col min="16" max="16" width="11.7109375" style="10" bestFit="1" customWidth="1"/>
    <col min="17" max="17" width="13.421875" style="10" customWidth="1"/>
    <col min="18" max="18" width="12.421875" style="10" bestFit="1" customWidth="1"/>
    <col min="19" max="19" width="11.140625" style="10" bestFit="1" customWidth="1"/>
    <col min="20" max="20" width="11.140625" style="10" customWidth="1"/>
    <col min="21" max="21" width="13.7109375" style="10" bestFit="1" customWidth="1"/>
    <col min="22" max="22" width="11.28125" style="10" customWidth="1"/>
    <col min="23" max="23" width="10.8515625" style="10" customWidth="1"/>
    <col min="24" max="24" width="9.421875" style="10" bestFit="1" customWidth="1"/>
    <col min="25" max="25" width="11.140625" style="192" bestFit="1" customWidth="1"/>
    <col min="26" max="26" width="10.28125" style="10" bestFit="1" customWidth="1"/>
    <col min="27" max="27" width="9.28125" style="10" bestFit="1" customWidth="1"/>
    <col min="28" max="28" width="14.421875" style="10" bestFit="1" customWidth="1"/>
  </cols>
  <sheetData>
    <row r="1" spans="2:10" ht="16.5" thickBot="1">
      <c r="B1" s="5"/>
      <c r="C1" s="5"/>
      <c r="D1" s="184"/>
      <c r="E1" s="184"/>
      <c r="F1" s="184"/>
      <c r="G1" s="286"/>
      <c r="H1" s="184"/>
      <c r="I1" s="286"/>
      <c r="J1" s="419"/>
    </row>
    <row r="2" spans="1:28" ht="29.25" customHeight="1" thickBot="1">
      <c r="A2" s="5"/>
      <c r="B2" s="1549" t="s">
        <v>218</v>
      </c>
      <c r="C2" s="1550"/>
      <c r="D2" s="1524" t="s">
        <v>219</v>
      </c>
      <c r="E2" s="1512" t="s">
        <v>220</v>
      </c>
      <c r="F2" s="1527" t="s">
        <v>121</v>
      </c>
      <c r="G2" s="1512" t="s">
        <v>221</v>
      </c>
      <c r="H2" s="1524" t="s">
        <v>222</v>
      </c>
      <c r="I2" s="1512" t="s">
        <v>223</v>
      </c>
      <c r="J2" s="1514" t="s">
        <v>163</v>
      </c>
      <c r="K2" s="1516" t="s">
        <v>0</v>
      </c>
      <c r="L2" s="1517"/>
      <c r="M2" s="1517"/>
      <c r="N2" s="1517"/>
      <c r="O2" s="1517"/>
      <c r="P2" s="1517"/>
      <c r="Q2" s="696"/>
      <c r="R2" s="698" t="s">
        <v>125</v>
      </c>
      <c r="S2" s="1500" t="s">
        <v>1</v>
      </c>
      <c r="T2" s="1500"/>
      <c r="U2" s="1519"/>
      <c r="V2" s="1531" t="s">
        <v>2</v>
      </c>
      <c r="W2" s="1502"/>
      <c r="X2" s="1498" t="s">
        <v>126</v>
      </c>
      <c r="Y2" s="1498" t="s">
        <v>18</v>
      </c>
      <c r="Z2" s="1517" t="s">
        <v>3</v>
      </c>
      <c r="AA2" s="1517"/>
      <c r="AB2" s="1548"/>
    </row>
    <row r="3" spans="1:30" ht="73.5" customHeight="1" thickBot="1">
      <c r="A3" s="193"/>
      <c r="B3" s="1551"/>
      <c r="C3" s="1552"/>
      <c r="D3" s="1525"/>
      <c r="E3" s="1526"/>
      <c r="F3" s="1528"/>
      <c r="G3" s="1526"/>
      <c r="H3" s="1525"/>
      <c r="I3" s="1513"/>
      <c r="J3" s="1515"/>
      <c r="K3" s="452" t="s">
        <v>4</v>
      </c>
      <c r="L3" s="609" t="s">
        <v>211</v>
      </c>
      <c r="M3" s="609" t="s">
        <v>6</v>
      </c>
      <c r="N3" s="609" t="s">
        <v>175</v>
      </c>
      <c r="O3" s="609" t="s">
        <v>224</v>
      </c>
      <c r="P3" s="610" t="s">
        <v>207</v>
      </c>
      <c r="Q3" s="579" t="s">
        <v>190</v>
      </c>
      <c r="R3" s="698" t="s">
        <v>225</v>
      </c>
      <c r="S3" s="457" t="s">
        <v>11</v>
      </c>
      <c r="T3" s="459" t="s">
        <v>13</v>
      </c>
      <c r="U3" s="459" t="s">
        <v>178</v>
      </c>
      <c r="V3" s="452" t="s">
        <v>209</v>
      </c>
      <c r="W3" s="458" t="s">
        <v>15</v>
      </c>
      <c r="X3" s="1499"/>
      <c r="Y3" s="1547"/>
      <c r="Z3" s="457" t="s">
        <v>17</v>
      </c>
      <c r="AA3" s="609" t="s">
        <v>19</v>
      </c>
      <c r="AB3" s="461" t="s">
        <v>20</v>
      </c>
      <c r="AC3" s="3"/>
      <c r="AD3" s="3"/>
    </row>
    <row r="4" spans="1:30" s="472" customFormat="1" ht="31.5" customHeight="1" thickBot="1">
      <c r="A4" s="241"/>
      <c r="B4" s="1503" t="s">
        <v>129</v>
      </c>
      <c r="C4" s="1504"/>
      <c r="D4" s="462"/>
      <c r="E4" s="463"/>
      <c r="F4" s="464"/>
      <c r="G4" s="465"/>
      <c r="H4" s="462"/>
      <c r="I4" s="465"/>
      <c r="J4" s="466"/>
      <c r="K4" s="457" t="s">
        <v>226</v>
      </c>
      <c r="L4" s="609" t="s">
        <v>194</v>
      </c>
      <c r="M4" s="609" t="s">
        <v>227</v>
      </c>
      <c r="N4" s="609" t="s">
        <v>228</v>
      </c>
      <c r="O4" s="609" t="s">
        <v>54</v>
      </c>
      <c r="P4" s="454" t="s">
        <v>216</v>
      </c>
      <c r="Q4" s="454" t="s">
        <v>196</v>
      </c>
      <c r="R4" s="699" t="s">
        <v>134</v>
      </c>
      <c r="S4" s="467" t="s">
        <v>54</v>
      </c>
      <c r="T4" s="467" t="s">
        <v>168</v>
      </c>
      <c r="U4" s="580" t="s">
        <v>205</v>
      </c>
      <c r="V4" s="581" t="s">
        <v>136</v>
      </c>
      <c r="W4" s="458" t="s">
        <v>136</v>
      </c>
      <c r="X4" s="469" t="s">
        <v>136</v>
      </c>
      <c r="Y4" s="700" t="s">
        <v>197</v>
      </c>
      <c r="Z4" s="581" t="s">
        <v>134</v>
      </c>
      <c r="AA4" s="471" t="s">
        <v>134</v>
      </c>
      <c r="AB4" s="458" t="s">
        <v>134</v>
      </c>
      <c r="AC4" s="3"/>
      <c r="AD4" s="3"/>
    </row>
    <row r="5" spans="1:30" ht="33.75" customHeight="1" thickBot="1">
      <c r="A5" s="193"/>
      <c r="B5" s="1532" t="s">
        <v>138</v>
      </c>
      <c r="C5" s="1533"/>
      <c r="D5" s="611"/>
      <c r="E5" s="612"/>
      <c r="F5" s="611"/>
      <c r="G5" s="613"/>
      <c r="H5" s="614"/>
      <c r="I5" s="615"/>
      <c r="J5" s="613"/>
      <c r="K5" s="616">
        <f>'[3]Catalogue dot et JE 2017'!E7</f>
        <v>432.6</v>
      </c>
      <c r="L5" s="617">
        <f>'[3]Catalogue dot et JE 2017'!E4+'[3]Catalogue dot et JE 2017'!E5</f>
        <v>191.64</v>
      </c>
      <c r="M5" s="617">
        <f>'[3]Catalogue dot et JE 2017'!E4+'[3]Catalogue dot et JE 2017'!E6</f>
        <v>310.56</v>
      </c>
      <c r="N5" s="617">
        <v>403</v>
      </c>
      <c r="O5" s="618">
        <f>'[3]Catalogue dot et JE 2017'!E4</f>
        <v>69.6</v>
      </c>
      <c r="P5" s="618">
        <f>'[3]Catalogue dot et JE 2017'!E20</f>
        <v>85.74</v>
      </c>
      <c r="Q5" s="618">
        <f>'[3]Catalogue dot et JE 2017'!E22</f>
        <v>330.9</v>
      </c>
      <c r="R5" s="701">
        <v>600</v>
      </c>
      <c r="S5" s="622">
        <f>'[3]Catalogue dot et JE 2017'!E24</f>
        <v>159.61</v>
      </c>
      <c r="T5" s="622">
        <f>'[3]Catalogue dot et JE 2017'!E28</f>
        <v>117.6</v>
      </c>
      <c r="U5" s="623">
        <f>'[3]Catalogue dot et JE 2017'!E27</f>
        <v>447.88</v>
      </c>
      <c r="V5" s="624">
        <f>'[3]Catalogue dot et JE 2017'!E29</f>
        <v>122.04</v>
      </c>
      <c r="W5" s="620">
        <f>'[3]Catalogue dot et JE 2017'!E30</f>
        <v>319.8</v>
      </c>
      <c r="X5" s="625">
        <f>'[3]Catalogue dot et JE 2017'!E32</f>
        <v>91.2</v>
      </c>
      <c r="Y5" s="618">
        <f>'[3]Catalogue dot et JE 2017'!E31</f>
        <v>240.96</v>
      </c>
      <c r="Z5" s="624">
        <v>300</v>
      </c>
      <c r="AA5" s="617">
        <v>300</v>
      </c>
      <c r="AB5" s="620">
        <v>300</v>
      </c>
      <c r="AC5" s="3"/>
      <c r="AD5" s="3"/>
    </row>
    <row r="6" spans="2:28" s="5" customFormat="1" ht="12.75">
      <c r="B6" s="1477" t="s">
        <v>40</v>
      </c>
      <c r="C6" s="1478"/>
      <c r="D6" s="1509">
        <v>17</v>
      </c>
      <c r="E6" s="1464">
        <f>D6/$D$71</f>
        <v>0.020118343195266272</v>
      </c>
      <c r="F6" s="1461">
        <f>COUNTA(K6:AB8)</f>
        <v>0</v>
      </c>
      <c r="G6" s="1464">
        <f>F6/D6</f>
        <v>0</v>
      </c>
      <c r="H6" s="1467">
        <f>$K$5*COUNTA(K6:K8)+$L$5*COUNTA(L6:L8)+$M$5*COUNTA(M6:M8)+$N$5*COUNTA(N6:N8)+$P$5*COUNTA(P6:P8)+$Q$5*COUNTA(Q6:Q8)+$R$5*COUNTA(R6:R8)+$S$5*COUNTA(S6:S8)+$T$5*COUNTA(T6:T8)+$U$5*COUNTA(U6:U8)+$V$5*COUNTA(V6:V8)+$W$5*COUNTA(W6:W8)+$X$5*COUNTA(X6:X8)+$Z$5*COUNTA(Z6:Z8)+$Y$5*COUNTA(Y6:Y8)+$AA$5*COUNTA(AA6:AA8)+$AB$5*COUNTA(AB6:AB8)+$O$5*COUNTA(O6:O8)</f>
        <v>0</v>
      </c>
      <c r="I6" s="1446">
        <f>H6/H71</f>
        <v>0</v>
      </c>
      <c r="J6" s="1470">
        <f>H6/D6</f>
        <v>0</v>
      </c>
      <c r="K6" s="638"/>
      <c r="L6" s="639"/>
      <c r="M6" s="640"/>
      <c r="N6" s="640"/>
      <c r="O6" s="641"/>
      <c r="P6" s="642"/>
      <c r="Q6" s="642"/>
      <c r="R6" s="646"/>
      <c r="S6" s="645"/>
      <c r="T6" s="645"/>
      <c r="U6" s="641"/>
      <c r="V6" s="638"/>
      <c r="W6" s="644"/>
      <c r="X6" s="646"/>
      <c r="Y6" s="642"/>
      <c r="Z6" s="638"/>
      <c r="AA6" s="639"/>
      <c r="AB6" s="644"/>
    </row>
    <row r="7" spans="2:28" s="5" customFormat="1" ht="12.75">
      <c r="B7" s="1507"/>
      <c r="C7" s="1508"/>
      <c r="D7" s="1510"/>
      <c r="E7" s="1465"/>
      <c r="F7" s="1462"/>
      <c r="G7" s="1465"/>
      <c r="H7" s="1468"/>
      <c r="I7" s="1447"/>
      <c r="J7" s="1471"/>
      <c r="K7" s="647"/>
      <c r="L7" s="648"/>
      <c r="M7" s="649"/>
      <c r="N7" s="649"/>
      <c r="O7" s="650"/>
      <c r="P7" s="651"/>
      <c r="Q7" s="651"/>
      <c r="R7" s="655"/>
      <c r="S7" s="654"/>
      <c r="T7" s="654"/>
      <c r="U7" s="650"/>
      <c r="V7" s="647"/>
      <c r="W7" s="653"/>
      <c r="X7" s="655"/>
      <c r="Y7" s="651"/>
      <c r="Z7" s="647"/>
      <c r="AA7" s="648"/>
      <c r="AB7" s="653"/>
    </row>
    <row r="8" spans="2:28" s="1" customFormat="1" ht="13.5" thickBot="1">
      <c r="B8" s="1479"/>
      <c r="C8" s="1480"/>
      <c r="D8" s="1511"/>
      <c r="E8" s="1466"/>
      <c r="F8" s="1463"/>
      <c r="G8" s="1466"/>
      <c r="H8" s="1469"/>
      <c r="I8" s="1448"/>
      <c r="J8" s="1472"/>
      <c r="K8" s="656"/>
      <c r="L8" s="657"/>
      <c r="M8" s="658"/>
      <c r="N8" s="658"/>
      <c r="O8" s="659"/>
      <c r="P8" s="660"/>
      <c r="Q8" s="660"/>
      <c r="R8" s="664"/>
      <c r="S8" s="663"/>
      <c r="T8" s="663"/>
      <c r="U8" s="659"/>
      <c r="V8" s="656"/>
      <c r="W8" s="662"/>
      <c r="X8" s="664"/>
      <c r="Y8" s="660"/>
      <c r="Z8" s="656"/>
      <c r="AA8" s="665"/>
      <c r="AB8" s="662"/>
    </row>
    <row r="9" spans="2:28" s="1" customFormat="1" ht="12.75">
      <c r="B9" s="1424" t="s">
        <v>229</v>
      </c>
      <c r="C9" s="1494"/>
      <c r="D9" s="1415">
        <v>99</v>
      </c>
      <c r="E9" s="1418">
        <f>D9/$D$71</f>
        <v>0.11715976331360947</v>
      </c>
      <c r="F9" s="1415">
        <f>COUNTA(K9:AB16)</f>
        <v>22</v>
      </c>
      <c r="G9" s="1418">
        <f>F9/D9</f>
        <v>0.2222222222222222</v>
      </c>
      <c r="H9" s="1467">
        <f>$K$5*COUNTA(K9:K16)+$L$5*COUNTA(L9:L16)+$M$5*COUNTA(M9:M16)+$N$5*COUNTA(N9:N16)+$P$5*COUNTA(P9:P16)+$Q$5*COUNTA(Q9:Q16)+$R$5*COUNTA(R9:R16)+$S$5*COUNTA(S9:S16)+$T$5*COUNTA(T9:T16)+$U$5*COUNTA(U9:U16)+$V$5*COUNTA(V9:V16)+$W$5*COUNTA(W9:W16)+X5*COUNTA(X9:X16)+$Z$5*COUNTA(Z9:Z16)+$Y$5*COUNTA(Y9:Y16)+$AA$5*COUNTA(AA9:AA16)+$AB$5*COUNTA(AB9:AB16)+$O$5*COUNTA(O9:O16)-221.88</f>
        <v>7116.3099999999995</v>
      </c>
      <c r="I9" s="1387">
        <f>H9/H71</f>
        <v>0.1380533387238266</v>
      </c>
      <c r="J9" s="1390">
        <f>H9/D9</f>
        <v>71.88191919191918</v>
      </c>
      <c r="K9" s="638"/>
      <c r="L9" s="666">
        <v>587</v>
      </c>
      <c r="M9" s="640">
        <v>1547</v>
      </c>
      <c r="N9" s="640">
        <v>859</v>
      </c>
      <c r="O9" s="641"/>
      <c r="P9" s="642">
        <v>287</v>
      </c>
      <c r="Q9" s="642"/>
      <c r="R9" s="646"/>
      <c r="S9" s="645">
        <v>9</v>
      </c>
      <c r="T9" s="645"/>
      <c r="U9" s="641">
        <v>103</v>
      </c>
      <c r="V9" s="638">
        <v>35</v>
      </c>
      <c r="W9" s="644"/>
      <c r="X9" s="646"/>
      <c r="Y9" s="642">
        <v>499</v>
      </c>
      <c r="Z9" s="638">
        <v>647</v>
      </c>
      <c r="AA9" s="639"/>
      <c r="AB9" s="644"/>
    </row>
    <row r="10" spans="2:28" s="1" customFormat="1" ht="12.75">
      <c r="B10" s="1432"/>
      <c r="C10" s="1495"/>
      <c r="D10" s="1416"/>
      <c r="E10" s="1419"/>
      <c r="F10" s="1416"/>
      <c r="G10" s="1419"/>
      <c r="H10" s="1468"/>
      <c r="I10" s="1388"/>
      <c r="J10" s="1391"/>
      <c r="K10" s="647"/>
      <c r="L10" s="667">
        <v>1548</v>
      </c>
      <c r="M10" s="649"/>
      <c r="N10" s="649">
        <v>52</v>
      </c>
      <c r="O10" s="650"/>
      <c r="P10" s="651"/>
      <c r="Q10" s="651"/>
      <c r="R10" s="655"/>
      <c r="S10" s="654"/>
      <c r="T10" s="654"/>
      <c r="U10" s="650">
        <v>139</v>
      </c>
      <c r="V10" s="647"/>
      <c r="W10" s="653"/>
      <c r="X10" s="655"/>
      <c r="Y10" s="651">
        <v>572</v>
      </c>
      <c r="Z10" s="647"/>
      <c r="AA10" s="648"/>
      <c r="AB10" s="653"/>
    </row>
    <row r="11" spans="2:28" s="1" customFormat="1" ht="12.75">
      <c r="B11" s="1432"/>
      <c r="C11" s="1495"/>
      <c r="D11" s="1416"/>
      <c r="E11" s="1419"/>
      <c r="F11" s="1416"/>
      <c r="G11" s="1419"/>
      <c r="H11" s="1468"/>
      <c r="I11" s="1388"/>
      <c r="J11" s="1391"/>
      <c r="K11" s="668"/>
      <c r="L11" s="669"/>
      <c r="M11" s="670"/>
      <c r="N11" s="670">
        <v>35</v>
      </c>
      <c r="O11" s="671"/>
      <c r="P11" s="672"/>
      <c r="Q11" s="672"/>
      <c r="R11" s="676"/>
      <c r="S11" s="675"/>
      <c r="T11" s="675"/>
      <c r="U11" s="671">
        <v>721</v>
      </c>
      <c r="V11" s="668"/>
      <c r="W11" s="674"/>
      <c r="X11" s="676"/>
      <c r="Y11" s="672"/>
      <c r="Z11" s="668"/>
      <c r="AA11" s="677"/>
      <c r="AB11" s="674">
        <v>1601</v>
      </c>
    </row>
    <row r="12" spans="2:28" s="1" customFormat="1" ht="12.75">
      <c r="B12" s="1432"/>
      <c r="C12" s="1495"/>
      <c r="D12" s="1416"/>
      <c r="E12" s="1419"/>
      <c r="F12" s="1416"/>
      <c r="G12" s="1419"/>
      <c r="H12" s="1468"/>
      <c r="I12" s="1388"/>
      <c r="J12" s="1391"/>
      <c r="K12" s="668"/>
      <c r="L12" s="669"/>
      <c r="M12" s="670"/>
      <c r="N12" s="670">
        <v>172</v>
      </c>
      <c r="O12" s="671"/>
      <c r="P12" s="672"/>
      <c r="Q12" s="672"/>
      <c r="R12" s="676"/>
      <c r="S12" s="675"/>
      <c r="T12" s="675"/>
      <c r="U12" s="671">
        <v>973</v>
      </c>
      <c r="V12" s="668"/>
      <c r="W12" s="674"/>
      <c r="X12" s="676"/>
      <c r="Y12" s="672"/>
      <c r="Z12" s="668"/>
      <c r="AA12" s="677"/>
      <c r="AB12" s="674"/>
    </row>
    <row r="13" spans="2:28" s="1" customFormat="1" ht="12.75">
      <c r="B13" s="1432"/>
      <c r="C13" s="1495"/>
      <c r="D13" s="1416"/>
      <c r="E13" s="1419"/>
      <c r="F13" s="1416"/>
      <c r="G13" s="1419"/>
      <c r="H13" s="1468"/>
      <c r="I13" s="1388"/>
      <c r="J13" s="1391"/>
      <c r="K13" s="668"/>
      <c r="L13" s="669"/>
      <c r="M13" s="670"/>
      <c r="N13" s="670"/>
      <c r="O13" s="671"/>
      <c r="P13" s="672"/>
      <c r="Q13" s="672"/>
      <c r="R13" s="676"/>
      <c r="S13" s="675"/>
      <c r="T13" s="675"/>
      <c r="U13" s="671">
        <v>342</v>
      </c>
      <c r="V13" s="668"/>
      <c r="W13" s="674"/>
      <c r="X13" s="676"/>
      <c r="Y13" s="672"/>
      <c r="Z13" s="668"/>
      <c r="AA13" s="677"/>
      <c r="AB13" s="674"/>
    </row>
    <row r="14" spans="2:28" s="1" customFormat="1" ht="12.75">
      <c r="B14" s="1432"/>
      <c r="C14" s="1495"/>
      <c r="D14" s="1416"/>
      <c r="E14" s="1419"/>
      <c r="F14" s="1416"/>
      <c r="G14" s="1419"/>
      <c r="H14" s="1468"/>
      <c r="I14" s="1388"/>
      <c r="J14" s="1391"/>
      <c r="K14" s="668"/>
      <c r="L14" s="669"/>
      <c r="M14" s="670"/>
      <c r="N14" s="670"/>
      <c r="O14" s="671"/>
      <c r="P14" s="672"/>
      <c r="Q14" s="672"/>
      <c r="R14" s="676"/>
      <c r="S14" s="675"/>
      <c r="T14" s="675"/>
      <c r="U14" s="671">
        <v>43</v>
      </c>
      <c r="V14" s="668"/>
      <c r="W14" s="674"/>
      <c r="X14" s="676"/>
      <c r="Y14" s="672"/>
      <c r="Z14" s="668"/>
      <c r="AA14" s="677"/>
      <c r="AB14" s="674"/>
    </row>
    <row r="15" spans="2:28" s="1" customFormat="1" ht="12.75">
      <c r="B15" s="1432"/>
      <c r="C15" s="1495"/>
      <c r="D15" s="1416"/>
      <c r="E15" s="1419"/>
      <c r="F15" s="1416"/>
      <c r="G15" s="1419"/>
      <c r="H15" s="1468"/>
      <c r="I15" s="1388"/>
      <c r="J15" s="1391"/>
      <c r="K15" s="668"/>
      <c r="L15" s="669"/>
      <c r="M15" s="670"/>
      <c r="N15" s="670"/>
      <c r="O15" s="671"/>
      <c r="P15" s="672"/>
      <c r="Q15" s="672"/>
      <c r="R15" s="676"/>
      <c r="S15" s="675"/>
      <c r="T15" s="675"/>
      <c r="U15" s="671">
        <v>201</v>
      </c>
      <c r="V15" s="668"/>
      <c r="W15" s="674"/>
      <c r="X15" s="676"/>
      <c r="Y15" s="672"/>
      <c r="Z15" s="668"/>
      <c r="AA15" s="677"/>
      <c r="AB15" s="674"/>
    </row>
    <row r="16" spans="2:28" s="1" customFormat="1" ht="13.5" thickBot="1">
      <c r="B16" s="1436"/>
      <c r="C16" s="1496"/>
      <c r="D16" s="1417"/>
      <c r="E16" s="1420"/>
      <c r="F16" s="1417"/>
      <c r="G16" s="1420"/>
      <c r="H16" s="1469"/>
      <c r="I16" s="1389"/>
      <c r="J16" s="1392"/>
      <c r="K16" s="656"/>
      <c r="L16" s="665"/>
      <c r="M16" s="665"/>
      <c r="N16" s="665"/>
      <c r="O16" s="660"/>
      <c r="P16" s="660"/>
      <c r="Q16" s="660"/>
      <c r="R16" s="664"/>
      <c r="S16" s="663"/>
      <c r="T16" s="663"/>
      <c r="U16" s="660">
        <v>497</v>
      </c>
      <c r="V16" s="656"/>
      <c r="W16" s="662"/>
      <c r="X16" s="664"/>
      <c r="Y16" s="660"/>
      <c r="Z16" s="656"/>
      <c r="AA16" s="665"/>
      <c r="AB16" s="662"/>
    </row>
    <row r="17" spans="1:28" s="6" customFormat="1" ht="12.75">
      <c r="A17" s="1"/>
      <c r="B17" s="1432" t="s">
        <v>230</v>
      </c>
      <c r="C17" s="1433"/>
      <c r="D17" s="1434">
        <v>51</v>
      </c>
      <c r="E17" s="1419">
        <f>D17/$D$71</f>
        <v>0.06035502958579882</v>
      </c>
      <c r="F17" s="1415">
        <f>COUNTA(K17:AB20)</f>
        <v>6</v>
      </c>
      <c r="G17" s="1418">
        <f>F17/D17</f>
        <v>0.11764705882352941</v>
      </c>
      <c r="H17" s="1467">
        <f>$K$5*COUNTA(K17:K20)+$L$5*COUNTA(L17:L20)+$M$5*COUNTA(M17:M20)+$N$5*COUNTA(N17:N20)+$P$5*COUNTA(P17:P20)+$Q$5*COUNTA(Q17:Q20)+$R$5*COUNTA(R17:R20)+$S$5*COUNTA(S17:S20)+$T$5*COUNTA(T17:T20)+$U$5*COUNTA(U17:U20)+$V$5*COUNTA(V17:V20)+$W$5*COUNTA(W17:W20)+$X$5*COUNTA(X17:X20)+$Z$5*COUNTA(Z17:Z20)+$Y$5*COUNTA(Y17:Y20)+$AA$5*COUNTA(AA17:AA20)+$AB$5*COUNTA(AB17:AB20)+$O$5*COUNTA(O17:O20)</f>
        <v>1818.88</v>
      </c>
      <c r="I17" s="1387">
        <f>H17/H71</f>
        <v>0.03528548598051431</v>
      </c>
      <c r="J17" s="1390">
        <f>H17/D17</f>
        <v>35.664313725490196</v>
      </c>
      <c r="K17" s="638">
        <v>411</v>
      </c>
      <c r="L17" s="639">
        <v>530</v>
      </c>
      <c r="M17" s="639"/>
      <c r="N17" s="639">
        <v>388</v>
      </c>
      <c r="O17" s="642"/>
      <c r="P17" s="642"/>
      <c r="Q17" s="642"/>
      <c r="R17" s="646"/>
      <c r="S17" s="645"/>
      <c r="T17" s="645"/>
      <c r="U17" s="642"/>
      <c r="V17" s="638"/>
      <c r="W17" s="644"/>
      <c r="X17" s="646"/>
      <c r="Y17" s="642"/>
      <c r="Z17" s="638"/>
      <c r="AA17" s="639">
        <v>416</v>
      </c>
      <c r="AB17" s="644">
        <v>366</v>
      </c>
    </row>
    <row r="18" spans="1:28" s="6" customFormat="1" ht="12.75">
      <c r="A18" s="1"/>
      <c r="B18" s="1432"/>
      <c r="C18" s="1433"/>
      <c r="D18" s="1434"/>
      <c r="E18" s="1419"/>
      <c r="F18" s="1416"/>
      <c r="G18" s="1419"/>
      <c r="H18" s="1468"/>
      <c r="I18" s="1388"/>
      <c r="J18" s="1391"/>
      <c r="K18" s="647"/>
      <c r="L18" s="649">
        <v>493</v>
      </c>
      <c r="M18" s="649"/>
      <c r="N18" s="649"/>
      <c r="O18" s="650"/>
      <c r="P18" s="651"/>
      <c r="Q18" s="651"/>
      <c r="R18" s="655"/>
      <c r="S18" s="654"/>
      <c r="T18" s="654"/>
      <c r="U18" s="650"/>
      <c r="V18" s="678"/>
      <c r="W18" s="679"/>
      <c r="X18" s="655"/>
      <c r="Y18" s="650"/>
      <c r="Z18" s="647"/>
      <c r="AA18" s="649"/>
      <c r="AB18" s="653"/>
    </row>
    <row r="19" spans="1:28" s="6" customFormat="1" ht="12.75">
      <c r="A19" s="1"/>
      <c r="B19" s="1432"/>
      <c r="C19" s="1433"/>
      <c r="D19" s="1434"/>
      <c r="E19" s="1419"/>
      <c r="F19" s="1416"/>
      <c r="G19" s="1419"/>
      <c r="H19" s="1468"/>
      <c r="I19" s="1388"/>
      <c r="J19" s="1391"/>
      <c r="K19" s="647"/>
      <c r="L19" s="649"/>
      <c r="M19" s="649"/>
      <c r="N19" s="649"/>
      <c r="O19" s="650"/>
      <c r="P19" s="651"/>
      <c r="Q19" s="651"/>
      <c r="R19" s="655"/>
      <c r="S19" s="654"/>
      <c r="T19" s="654"/>
      <c r="U19" s="650"/>
      <c r="V19" s="678"/>
      <c r="W19" s="679"/>
      <c r="X19" s="655"/>
      <c r="Y19" s="650"/>
      <c r="Z19" s="647"/>
      <c r="AA19" s="649"/>
      <c r="AB19" s="653"/>
    </row>
    <row r="20" spans="1:28" s="6" customFormat="1" ht="13.5" thickBot="1">
      <c r="A20" s="1"/>
      <c r="B20" s="1432"/>
      <c r="C20" s="1433"/>
      <c r="D20" s="1434"/>
      <c r="E20" s="1419"/>
      <c r="F20" s="1416"/>
      <c r="G20" s="1419"/>
      <c r="H20" s="1468"/>
      <c r="I20" s="1388"/>
      <c r="J20" s="1391"/>
      <c r="K20" s="647"/>
      <c r="L20" s="649"/>
      <c r="M20" s="649"/>
      <c r="N20" s="649"/>
      <c r="O20" s="650"/>
      <c r="P20" s="651"/>
      <c r="Q20" s="651"/>
      <c r="R20" s="655"/>
      <c r="S20" s="654"/>
      <c r="T20" s="654"/>
      <c r="U20" s="650"/>
      <c r="V20" s="678"/>
      <c r="W20" s="679"/>
      <c r="X20" s="655"/>
      <c r="Y20" s="650"/>
      <c r="Z20" s="647"/>
      <c r="AA20" s="649"/>
      <c r="AB20" s="653"/>
    </row>
    <row r="21" spans="1:28" s="6" customFormat="1" ht="14.25" customHeight="1">
      <c r="A21" s="1"/>
      <c r="B21" s="1424" t="s">
        <v>231</v>
      </c>
      <c r="C21" s="1435"/>
      <c r="D21" s="1415">
        <v>46</v>
      </c>
      <c r="E21" s="1485">
        <f>D21/$D$71</f>
        <v>0.054437869822485205</v>
      </c>
      <c r="F21" s="1438">
        <f>COUNTA(K21:AB23)</f>
        <v>10</v>
      </c>
      <c r="G21" s="1418">
        <f>F21/D21</f>
        <v>0.21739130434782608</v>
      </c>
      <c r="H21" s="1467">
        <f>$K$5*COUNTA(K21:K23)+$L$5*COUNTA(L21:L23)+$M$5*COUNTA(M21:M23)+$N$5*COUNTA(N21:N23)+$P$5*COUNTA(P21:P23)+$Q$5*COUNTA(Q21:Q23)+$R$5*COUNTA(R21:R23)+$S$5*COUNTA(S21:S23)+$T$5*COUNTA(T21:T23)+$U$5*COUNTA(U21:U23)+$V$5*COUNTA(V21:V23)+$W$5*COUNTA(W21:W23)+$X$5*COUNTA(X21:X23)+$Z$5*COUNTA(Z21:Z23)+$Y$5*COUNTA(Y21:Y23)+$AA$5*COUNTA(AA21:AA23)+$AB$5*COUNTA(AB21:AB23)+$O$5*COUNTA(O21:O23)</f>
        <v>3555.12</v>
      </c>
      <c r="I21" s="1491">
        <f>H21/H71</f>
        <v>0.0689677916734727</v>
      </c>
      <c r="J21" s="1390">
        <f>H21/D21</f>
        <v>77.28521739130434</v>
      </c>
      <c r="K21" s="643">
        <v>274</v>
      </c>
      <c r="L21" s="639"/>
      <c r="M21" s="639"/>
      <c r="N21" s="639">
        <v>561</v>
      </c>
      <c r="O21" s="682"/>
      <c r="P21" s="639"/>
      <c r="Q21" s="644"/>
      <c r="R21" s="646"/>
      <c r="S21" s="682"/>
      <c r="T21" s="639">
        <v>152</v>
      </c>
      <c r="U21" s="642">
        <v>1574</v>
      </c>
      <c r="V21" s="638"/>
      <c r="W21" s="683"/>
      <c r="X21" s="646"/>
      <c r="Y21" s="642">
        <v>1619</v>
      </c>
      <c r="Z21" s="643"/>
      <c r="AA21" s="642"/>
      <c r="AB21" s="644">
        <v>299</v>
      </c>
    </row>
    <row r="22" spans="1:28" s="6" customFormat="1" ht="14.25" customHeight="1">
      <c r="A22" s="1"/>
      <c r="B22" s="1432"/>
      <c r="C22" s="1433"/>
      <c r="D22" s="1416"/>
      <c r="E22" s="1486"/>
      <c r="F22" s="1434"/>
      <c r="G22" s="1419"/>
      <c r="H22" s="1468"/>
      <c r="I22" s="1492"/>
      <c r="J22" s="1391"/>
      <c r="K22" s="652">
        <v>1523</v>
      </c>
      <c r="L22" s="648"/>
      <c r="M22" s="648"/>
      <c r="N22" s="648"/>
      <c r="O22" s="684"/>
      <c r="P22" s="648"/>
      <c r="Q22" s="653"/>
      <c r="R22" s="655"/>
      <c r="S22" s="684"/>
      <c r="T22" s="648"/>
      <c r="U22" s="651">
        <v>1567</v>
      </c>
      <c r="V22" s="647"/>
      <c r="W22" s="685"/>
      <c r="X22" s="655"/>
      <c r="Y22" s="651"/>
      <c r="Z22" s="652"/>
      <c r="AA22" s="648"/>
      <c r="AB22" s="653">
        <v>750</v>
      </c>
    </row>
    <row r="23" spans="1:28" s="6" customFormat="1" ht="14.25" customHeight="1" thickBot="1">
      <c r="A23" s="1"/>
      <c r="B23" s="1436"/>
      <c r="C23" s="1437"/>
      <c r="D23" s="1417"/>
      <c r="E23" s="1487"/>
      <c r="F23" s="1439"/>
      <c r="G23" s="1420"/>
      <c r="H23" s="1469"/>
      <c r="I23" s="1493"/>
      <c r="J23" s="1392"/>
      <c r="K23" s="661">
        <v>1568</v>
      </c>
      <c r="L23" s="665"/>
      <c r="M23" s="665"/>
      <c r="N23" s="665"/>
      <c r="O23" s="686"/>
      <c r="P23" s="665"/>
      <c r="Q23" s="662"/>
      <c r="R23" s="664"/>
      <c r="S23" s="686"/>
      <c r="T23" s="665"/>
      <c r="U23" s="660"/>
      <c r="V23" s="656"/>
      <c r="W23" s="687"/>
      <c r="X23" s="664"/>
      <c r="Y23" s="660"/>
      <c r="Z23" s="661"/>
      <c r="AA23" s="665"/>
      <c r="AB23" s="662"/>
    </row>
    <row r="24" spans="1:28" s="6" customFormat="1" ht="12.75">
      <c r="A24" s="1"/>
      <c r="B24" s="1432" t="s">
        <v>232</v>
      </c>
      <c r="C24" s="1433"/>
      <c r="D24" s="1434">
        <v>5</v>
      </c>
      <c r="E24" s="1419">
        <f>D24/$D$71</f>
        <v>0.005917159763313609</v>
      </c>
      <c r="F24" s="1416">
        <f>COUNTA(K24:AB26)</f>
        <v>2</v>
      </c>
      <c r="G24" s="1419">
        <f>F24/D24</f>
        <v>0.4</v>
      </c>
      <c r="H24" s="1467">
        <f>$K$5*COUNTA(K24:K26)+$L$5*COUNTA(L24:L26)+$M$5*COUNTA(M24:M26)+$N$5*COUNTA(N24:N26)+$P$5*COUNTA(P24:P26)+$Q$5*COUNTA(Q24:Q26)+$R$5*COUNTA(R24:R26)+$S$5*COUNTA(S24:S26)+$T$5*COUNTA(T24:T26)+$U$5*COUNTA(U24:U26)+$V$5*COUNTA(V24:V26)+$W$5*COUNTA(W24:W26)+$X$5*COUNTA(X24:X26)+$Z$5*COUNTA(Z24:Z26)+$Y$5*COUNTA(Y24:Y26)+$AA$5*COUNTA(AA24:AA26)+$AB$5*COUNTA(AB24:AB26)+$O$5*COUNTA(O24:O26)</f>
        <v>624.24</v>
      </c>
      <c r="I24" s="1388">
        <f>H24/H71</f>
        <v>0.012109986237946567</v>
      </c>
      <c r="J24" s="1390">
        <f>H24/D24</f>
        <v>124.848</v>
      </c>
      <c r="K24" s="638">
        <v>371</v>
      </c>
      <c r="L24" s="639"/>
      <c r="M24" s="639"/>
      <c r="N24" s="639"/>
      <c r="O24" s="642"/>
      <c r="P24" s="642"/>
      <c r="Q24" s="642"/>
      <c r="R24" s="646"/>
      <c r="S24" s="645"/>
      <c r="T24" s="645"/>
      <c r="U24" s="642"/>
      <c r="V24" s="638"/>
      <c r="W24" s="644"/>
      <c r="X24" s="646"/>
      <c r="Y24" s="642"/>
      <c r="Z24" s="638"/>
      <c r="AA24" s="639"/>
      <c r="AB24" s="644"/>
    </row>
    <row r="25" spans="1:28" s="6" customFormat="1" ht="12.75">
      <c r="A25" s="1"/>
      <c r="B25" s="1432"/>
      <c r="C25" s="1433"/>
      <c r="D25" s="1434"/>
      <c r="E25" s="1419"/>
      <c r="F25" s="1416"/>
      <c r="G25" s="1419"/>
      <c r="H25" s="1468"/>
      <c r="I25" s="1388"/>
      <c r="J25" s="1391"/>
      <c r="K25" s="647"/>
      <c r="L25" s="648">
        <v>365</v>
      </c>
      <c r="M25" s="648"/>
      <c r="N25" s="648"/>
      <c r="O25" s="651"/>
      <c r="P25" s="651"/>
      <c r="Q25" s="651"/>
      <c r="R25" s="655"/>
      <c r="S25" s="654"/>
      <c r="T25" s="654"/>
      <c r="U25" s="651"/>
      <c r="V25" s="647"/>
      <c r="W25" s="653"/>
      <c r="X25" s="655"/>
      <c r="Y25" s="651"/>
      <c r="Z25" s="647"/>
      <c r="AA25" s="648"/>
      <c r="AB25" s="653"/>
    </row>
    <row r="26" spans="1:28" s="6" customFormat="1" ht="13.5" thickBot="1">
      <c r="A26" s="1"/>
      <c r="B26" s="1432"/>
      <c r="C26" s="1433"/>
      <c r="D26" s="1434"/>
      <c r="E26" s="1419"/>
      <c r="F26" s="1416"/>
      <c r="G26" s="1419"/>
      <c r="H26" s="1469"/>
      <c r="I26" s="1388"/>
      <c r="J26" s="1392"/>
      <c r="K26" s="656"/>
      <c r="L26" s="657"/>
      <c r="M26" s="665"/>
      <c r="N26" s="665"/>
      <c r="O26" s="660"/>
      <c r="P26" s="660"/>
      <c r="Q26" s="660"/>
      <c r="R26" s="664"/>
      <c r="S26" s="663"/>
      <c r="T26" s="663"/>
      <c r="U26" s="660"/>
      <c r="V26" s="656"/>
      <c r="W26" s="662"/>
      <c r="X26" s="664"/>
      <c r="Y26" s="660"/>
      <c r="Z26" s="656"/>
      <c r="AA26" s="665"/>
      <c r="AB26" s="662"/>
    </row>
    <row r="27" spans="2:28" s="1" customFormat="1" ht="12.75">
      <c r="B27" s="1424" t="s">
        <v>233</v>
      </c>
      <c r="C27" s="1435"/>
      <c r="D27" s="1438">
        <v>45</v>
      </c>
      <c r="E27" s="1418">
        <f>D27/$D$71</f>
        <v>0.05325443786982249</v>
      </c>
      <c r="F27" s="1461">
        <f>COUNTA(K27:AB31)</f>
        <v>11</v>
      </c>
      <c r="G27" s="1418">
        <f>F27/D27</f>
        <v>0.24444444444444444</v>
      </c>
      <c r="H27" s="1467">
        <f>$K$5*COUNTA(K27:K31)+$L$5*COUNTA(L27:L31)+$M$5*COUNTA(M27:M31)+$N$5*COUNTA(N27:N31)+$P$5*COUNTA(P27:P31)+$Q$5*COUNTA(Q27:Q31)+$R$5*COUNTA(R27:R31)+$S$5*COUNTA(S27:S31)+$T$5*COUNTA(T27:T31)+$U$5*COUNTA(U27:U31)+$V$5*COUNTA(V27:V31)+$W$5*COUNTA(W27:W31)+$X$5*COUNTA(X27:X31)+$Z$5*COUNTA(Z27:Z31)+$Y$5*COUNTA(Y27:Y31)+$AA$5*COUNTA(AA27:AA31)+$AB$5*COUNTA(AB27:AB31)+$O$5*COUNTA(O27:O31)</f>
        <v>3903.5199999999995</v>
      </c>
      <c r="I27" s="1387">
        <f>H27/H71</f>
        <v>0.07572660111423359</v>
      </c>
      <c r="J27" s="1390">
        <f>H27/D27</f>
        <v>86.74488888888888</v>
      </c>
      <c r="K27" s="638"/>
      <c r="L27" s="639"/>
      <c r="M27" s="639"/>
      <c r="N27" s="639">
        <v>6</v>
      </c>
      <c r="O27" s="642"/>
      <c r="P27" s="642"/>
      <c r="Q27" s="642"/>
      <c r="R27" s="646"/>
      <c r="S27" s="645"/>
      <c r="T27" s="645"/>
      <c r="U27" s="642">
        <v>504</v>
      </c>
      <c r="V27" s="638"/>
      <c r="W27" s="644"/>
      <c r="X27" s="646"/>
      <c r="Y27" s="642"/>
      <c r="Z27" s="638"/>
      <c r="AA27" s="639"/>
      <c r="AB27" s="644">
        <v>6</v>
      </c>
    </row>
    <row r="28" spans="2:28" s="1" customFormat="1" ht="12.75">
      <c r="B28" s="1432"/>
      <c r="C28" s="1433"/>
      <c r="D28" s="1434"/>
      <c r="E28" s="1419"/>
      <c r="F28" s="1462"/>
      <c r="G28" s="1419"/>
      <c r="H28" s="1468"/>
      <c r="I28" s="1388"/>
      <c r="J28" s="1391"/>
      <c r="K28" s="647"/>
      <c r="L28" s="648"/>
      <c r="M28" s="648"/>
      <c r="N28" s="648"/>
      <c r="O28" s="651"/>
      <c r="P28" s="651"/>
      <c r="Q28" s="651"/>
      <c r="R28" s="655">
        <v>175</v>
      </c>
      <c r="S28" s="654"/>
      <c r="T28" s="654"/>
      <c r="U28" s="651">
        <v>546</v>
      </c>
      <c r="V28" s="647"/>
      <c r="W28" s="653"/>
      <c r="X28" s="655"/>
      <c r="Y28" s="651"/>
      <c r="Z28" s="647"/>
      <c r="AA28" s="648"/>
      <c r="AB28" s="653"/>
    </row>
    <row r="29" spans="2:28" s="1" customFormat="1" ht="12.75">
      <c r="B29" s="1432"/>
      <c r="C29" s="1433"/>
      <c r="D29" s="1434"/>
      <c r="E29" s="1419"/>
      <c r="F29" s="1462"/>
      <c r="G29" s="1419"/>
      <c r="H29" s="1468"/>
      <c r="I29" s="1388"/>
      <c r="J29" s="1391"/>
      <c r="K29" s="647"/>
      <c r="L29" s="648"/>
      <c r="M29" s="648"/>
      <c r="N29" s="648">
        <v>776</v>
      </c>
      <c r="O29" s="651"/>
      <c r="P29" s="651"/>
      <c r="Q29" s="651"/>
      <c r="R29" s="655"/>
      <c r="S29" s="654"/>
      <c r="T29" s="654"/>
      <c r="U29" s="651"/>
      <c r="V29" s="647"/>
      <c r="W29" s="653"/>
      <c r="X29" s="655">
        <v>34</v>
      </c>
      <c r="Y29" s="651"/>
      <c r="Z29" s="647"/>
      <c r="AA29" s="648"/>
      <c r="AB29" s="653">
        <v>675</v>
      </c>
    </row>
    <row r="30" spans="2:28" s="1" customFormat="1" ht="12.75">
      <c r="B30" s="1432"/>
      <c r="C30" s="1433"/>
      <c r="D30" s="1434"/>
      <c r="E30" s="1419"/>
      <c r="F30" s="1462"/>
      <c r="G30" s="1419"/>
      <c r="H30" s="1468"/>
      <c r="I30" s="1388"/>
      <c r="J30" s="1391"/>
      <c r="K30" s="668"/>
      <c r="L30" s="677"/>
      <c r="M30" s="677"/>
      <c r="N30" s="677"/>
      <c r="O30" s="672"/>
      <c r="P30" s="672"/>
      <c r="Q30" s="672"/>
      <c r="R30" s="676"/>
      <c r="S30" s="675"/>
      <c r="T30" s="675"/>
      <c r="U30" s="672"/>
      <c r="V30" s="668"/>
      <c r="W30" s="674"/>
      <c r="X30" s="676"/>
      <c r="Y30" s="672"/>
      <c r="Z30" s="668"/>
      <c r="AA30" s="677"/>
      <c r="AB30" s="674">
        <v>66</v>
      </c>
    </row>
    <row r="31" spans="2:28" s="1" customFormat="1" ht="13.5" thickBot="1">
      <c r="B31" s="1432"/>
      <c r="C31" s="1433"/>
      <c r="D31" s="1434"/>
      <c r="E31" s="1419"/>
      <c r="F31" s="1463"/>
      <c r="G31" s="1419"/>
      <c r="H31" s="1469"/>
      <c r="I31" s="1388"/>
      <c r="J31" s="1392"/>
      <c r="K31" s="656"/>
      <c r="L31" s="665"/>
      <c r="M31" s="665">
        <v>436</v>
      </c>
      <c r="N31" s="665"/>
      <c r="O31" s="660"/>
      <c r="P31" s="660"/>
      <c r="Q31" s="660"/>
      <c r="R31" s="664"/>
      <c r="S31" s="663"/>
      <c r="T31" s="663"/>
      <c r="U31" s="660"/>
      <c r="V31" s="656"/>
      <c r="W31" s="662"/>
      <c r="X31" s="664"/>
      <c r="Y31" s="660"/>
      <c r="Z31" s="656"/>
      <c r="AA31" s="665"/>
      <c r="AB31" s="662">
        <v>774</v>
      </c>
    </row>
    <row r="32" spans="1:29" s="6" customFormat="1" ht="12.75">
      <c r="A32" s="1"/>
      <c r="B32" s="1483" t="s">
        <v>234</v>
      </c>
      <c r="C32" s="1424"/>
      <c r="D32" s="1438">
        <v>101</v>
      </c>
      <c r="E32" s="1418">
        <f>D32/$D$71</f>
        <v>0.11952662721893491</v>
      </c>
      <c r="F32" s="1415">
        <f>COUNTA(K32:AB36)</f>
        <v>16</v>
      </c>
      <c r="G32" s="1418">
        <f>F32/D32</f>
        <v>0.15841584158415842</v>
      </c>
      <c r="H32" s="1467">
        <f>$K$5*COUNTA(K32:K36)+$L$5*COUNTA(L32:L36)+$M$5*COUNTA(M32:M36)+$N$5*COUNTA(N32:N36)+$P$5*COUNTA(P32:P36)+$Q$5*COUNTA(Q32:Q36)+$R$5*COUNTA(R32:R36)+$S$5*COUNTA(S32:S36)+$T$5*COUNTA(T32:T36)+$U$5*COUNTA(U32:U36)+$V$5*COUNTA(V32:V36)+$W$5*COUNTA(W32:W36)+$X$5*COUNTA(X32:X36)+$Z$5*COUNTA(Z32:Z36)+$Y$5*COUNTA(Y32:Y36)+$AA$5*COUNTA(AA32:AA36)+$AB$5*COUNTA(AB32:AB36)+$O$5*COUNTA(O32:O36)</f>
        <v>4799.13</v>
      </c>
      <c r="I32" s="1387">
        <f>H32/H71</f>
        <v>0.09310104808105298</v>
      </c>
      <c r="J32" s="1390">
        <f>H32/D32</f>
        <v>47.516138613861386</v>
      </c>
      <c r="K32" s="638">
        <v>236</v>
      </c>
      <c r="L32" s="639">
        <v>393</v>
      </c>
      <c r="M32" s="689"/>
      <c r="N32" s="689" t="s">
        <v>235</v>
      </c>
      <c r="O32" s="690"/>
      <c r="P32" s="642"/>
      <c r="Q32" s="642"/>
      <c r="R32" s="646"/>
      <c r="S32" s="645">
        <v>214</v>
      </c>
      <c r="T32" s="645"/>
      <c r="U32" s="642"/>
      <c r="V32" s="638">
        <v>386</v>
      </c>
      <c r="W32" s="644"/>
      <c r="X32" s="646"/>
      <c r="Y32" s="642">
        <v>662</v>
      </c>
      <c r="Z32" s="638"/>
      <c r="AA32" s="639"/>
      <c r="AB32" s="644">
        <v>1000</v>
      </c>
      <c r="AC32" s="1311"/>
    </row>
    <row r="33" spans="2:29" s="1" customFormat="1" ht="12.75">
      <c r="B33" s="1484"/>
      <c r="C33" s="1432"/>
      <c r="D33" s="1434"/>
      <c r="E33" s="1419"/>
      <c r="F33" s="1416"/>
      <c r="G33" s="1419"/>
      <c r="H33" s="1468"/>
      <c r="I33" s="1388"/>
      <c r="J33" s="1391"/>
      <c r="K33" s="647">
        <v>1617</v>
      </c>
      <c r="L33" s="648">
        <v>969</v>
      </c>
      <c r="M33" s="648"/>
      <c r="N33" s="648">
        <v>524</v>
      </c>
      <c r="O33" s="651"/>
      <c r="P33" s="651"/>
      <c r="Q33" s="651"/>
      <c r="R33" s="655"/>
      <c r="S33" s="654"/>
      <c r="T33" s="654"/>
      <c r="U33" s="651"/>
      <c r="V33" s="647"/>
      <c r="W33" s="653"/>
      <c r="X33" s="655"/>
      <c r="Y33" s="651">
        <v>527</v>
      </c>
      <c r="Z33" s="647"/>
      <c r="AA33" s="648"/>
      <c r="AB33" s="653"/>
      <c r="AC33" s="1311"/>
    </row>
    <row r="34" spans="2:29" s="1" customFormat="1" ht="12.75">
      <c r="B34" s="1484"/>
      <c r="C34" s="1432"/>
      <c r="D34" s="1434"/>
      <c r="E34" s="1419"/>
      <c r="F34" s="1416"/>
      <c r="G34" s="1419"/>
      <c r="H34" s="1468"/>
      <c r="I34" s="1388"/>
      <c r="J34" s="1391"/>
      <c r="K34" s="668">
        <v>192</v>
      </c>
      <c r="L34" s="677">
        <v>617</v>
      </c>
      <c r="M34" s="677"/>
      <c r="N34" s="677"/>
      <c r="O34" s="672"/>
      <c r="P34" s="672"/>
      <c r="Q34" s="672"/>
      <c r="R34" s="676"/>
      <c r="S34" s="675"/>
      <c r="T34" s="675"/>
      <c r="U34" s="672"/>
      <c r="V34" s="668"/>
      <c r="W34" s="674"/>
      <c r="X34" s="676"/>
      <c r="Y34" s="672"/>
      <c r="Z34" s="668"/>
      <c r="AA34" s="677"/>
      <c r="AB34" s="674"/>
      <c r="AC34" s="1311"/>
    </row>
    <row r="35" spans="2:29" s="1" customFormat="1" ht="12.75">
      <c r="B35" s="1484"/>
      <c r="C35" s="1432"/>
      <c r="D35" s="1434"/>
      <c r="E35" s="1419"/>
      <c r="F35" s="1416"/>
      <c r="G35" s="1419"/>
      <c r="H35" s="1468"/>
      <c r="I35" s="1388"/>
      <c r="J35" s="1391"/>
      <c r="K35" s="668">
        <v>741</v>
      </c>
      <c r="L35" s="677">
        <v>141</v>
      </c>
      <c r="M35" s="677"/>
      <c r="N35" s="677"/>
      <c r="O35" s="672"/>
      <c r="P35" s="672"/>
      <c r="Q35" s="672"/>
      <c r="R35" s="676"/>
      <c r="S35" s="675"/>
      <c r="T35" s="675"/>
      <c r="U35" s="672"/>
      <c r="V35" s="668"/>
      <c r="W35" s="674"/>
      <c r="X35" s="676"/>
      <c r="Y35" s="672"/>
      <c r="Z35" s="668"/>
      <c r="AA35" s="677"/>
      <c r="AB35" s="674"/>
      <c r="AC35" s="1311"/>
    </row>
    <row r="36" spans="2:29" s="1" customFormat="1" ht="13.5" thickBot="1">
      <c r="B36" s="1484"/>
      <c r="C36" s="1432"/>
      <c r="D36" s="1434"/>
      <c r="E36" s="1419"/>
      <c r="F36" s="1416"/>
      <c r="G36" s="1419"/>
      <c r="H36" s="1469"/>
      <c r="I36" s="1388"/>
      <c r="J36" s="1392"/>
      <c r="K36" s="691" t="s">
        <v>236</v>
      </c>
      <c r="L36" s="665"/>
      <c r="M36" s="665"/>
      <c r="N36" s="665"/>
      <c r="O36" s="660"/>
      <c r="P36" s="660"/>
      <c r="Q36" s="660"/>
      <c r="R36" s="664"/>
      <c r="S36" s="663"/>
      <c r="T36" s="663"/>
      <c r="U36" s="660"/>
      <c r="V36" s="656"/>
      <c r="W36" s="662"/>
      <c r="X36" s="664"/>
      <c r="Y36" s="660"/>
      <c r="Z36" s="656"/>
      <c r="AA36" s="665"/>
      <c r="AB36" s="662"/>
      <c r="AC36" s="1311"/>
    </row>
    <row r="37" spans="2:29" s="1" customFormat="1" ht="12.75">
      <c r="B37" s="1477" t="s">
        <v>237</v>
      </c>
      <c r="C37" s="1478"/>
      <c r="D37" s="1415">
        <v>68</v>
      </c>
      <c r="E37" s="1418">
        <f>D37/$D$71</f>
        <v>0.08047337278106509</v>
      </c>
      <c r="F37" s="1415">
        <f>COUNTA(K37:AB40)</f>
        <v>12</v>
      </c>
      <c r="G37" s="1418">
        <f>F37/D37</f>
        <v>0.17647058823529413</v>
      </c>
      <c r="H37" s="1467">
        <f>$K$5*COUNTA(K37:K40)+$L$5*COUNTA(L37:L40)+$M$5*COUNTA(M37:M40)+$N$5*COUNTA(N37:N40)+$P$5*COUNTA(P37:P40)+$Q$5*COUNTA(Q37:Q40)+$R$5*COUNTA(R37:R40)+$S$5*COUNTA(S37:S40)+$T$5*COUNTA(T37:T40)+$U$5*COUNTA(U37:U40)+$V$5*COUNTA(V37:V40)+$W$5*COUNTA(W37:W40)+$X$5*COUNTA(X37:X40)+$Z$5*COUNTA(Z37:Z40)+$Y$5*COUNTA(Y37:Y40)+$AA$5*COUNTA(AA37:AA40)+$AB$5*COUNTA(AB37:AB40)+$O$5*COUNTA(O37:O40)</f>
        <v>2299.65</v>
      </c>
      <c r="I37" s="1387">
        <f>H37/H71</f>
        <v>0.044612216218271536</v>
      </c>
      <c r="J37" s="1390">
        <f>H37/D37</f>
        <v>33.81838235294118</v>
      </c>
      <c r="K37" s="692"/>
      <c r="L37" s="639">
        <v>91</v>
      </c>
      <c r="M37" s="639"/>
      <c r="N37" s="639"/>
      <c r="O37" s="642"/>
      <c r="P37" s="642"/>
      <c r="Q37" s="642">
        <v>1627</v>
      </c>
      <c r="R37" s="646"/>
      <c r="S37" s="645">
        <v>835</v>
      </c>
      <c r="T37" s="645"/>
      <c r="U37" s="642"/>
      <c r="V37" s="638"/>
      <c r="W37" s="644"/>
      <c r="X37" s="646">
        <v>415</v>
      </c>
      <c r="Y37" s="642">
        <v>344</v>
      </c>
      <c r="Z37" s="638"/>
      <c r="AA37" s="639">
        <v>470</v>
      </c>
      <c r="AB37" s="644"/>
      <c r="AC37" s="385"/>
    </row>
    <row r="38" spans="2:29" s="1" customFormat="1" ht="12.75">
      <c r="B38" s="1507"/>
      <c r="C38" s="1508"/>
      <c r="D38" s="1416"/>
      <c r="E38" s="1419"/>
      <c r="F38" s="1416"/>
      <c r="G38" s="1419"/>
      <c r="H38" s="1468"/>
      <c r="I38" s="1388"/>
      <c r="J38" s="1391"/>
      <c r="K38" s="693"/>
      <c r="L38" s="648">
        <v>629</v>
      </c>
      <c r="M38" s="648"/>
      <c r="N38" s="648"/>
      <c r="O38" s="651"/>
      <c r="P38" s="651"/>
      <c r="Q38" s="651"/>
      <c r="R38" s="655"/>
      <c r="S38" s="654">
        <v>19</v>
      </c>
      <c r="T38" s="654"/>
      <c r="U38" s="651"/>
      <c r="V38" s="647"/>
      <c r="W38" s="653"/>
      <c r="X38" s="655">
        <v>490</v>
      </c>
      <c r="Y38" s="651"/>
      <c r="Z38" s="647"/>
      <c r="AA38" s="648"/>
      <c r="AB38" s="653"/>
      <c r="AC38" s="385"/>
    </row>
    <row r="39" spans="2:29" s="1" customFormat="1" ht="12.75">
      <c r="B39" s="1507"/>
      <c r="C39" s="1508"/>
      <c r="D39" s="1416"/>
      <c r="E39" s="1419"/>
      <c r="F39" s="1416"/>
      <c r="G39" s="1419"/>
      <c r="H39" s="1468"/>
      <c r="I39" s="1388"/>
      <c r="J39" s="1391"/>
      <c r="K39" s="702"/>
      <c r="L39" s="677">
        <v>30</v>
      </c>
      <c r="M39" s="677"/>
      <c r="N39" s="677"/>
      <c r="O39" s="672"/>
      <c r="P39" s="672"/>
      <c r="Q39" s="672"/>
      <c r="R39" s="676"/>
      <c r="S39" s="675">
        <v>744</v>
      </c>
      <c r="T39" s="675"/>
      <c r="U39" s="672"/>
      <c r="V39" s="668"/>
      <c r="W39" s="674"/>
      <c r="X39" s="676"/>
      <c r="Y39" s="672"/>
      <c r="Z39" s="668"/>
      <c r="AA39" s="677"/>
      <c r="AB39" s="674"/>
      <c r="AC39" s="385"/>
    </row>
    <row r="40" spans="2:28" s="1" customFormat="1" ht="13.5" thickBot="1">
      <c r="B40" s="1479"/>
      <c r="C40" s="1480"/>
      <c r="D40" s="1417"/>
      <c r="E40" s="1420"/>
      <c r="F40" s="1417"/>
      <c r="G40" s="1420"/>
      <c r="H40" s="1469"/>
      <c r="I40" s="1389"/>
      <c r="J40" s="1392"/>
      <c r="K40" s="656"/>
      <c r="L40" s="665">
        <v>438</v>
      </c>
      <c r="M40" s="665"/>
      <c r="N40" s="665"/>
      <c r="O40" s="660"/>
      <c r="P40" s="660"/>
      <c r="Q40" s="660"/>
      <c r="R40" s="664"/>
      <c r="S40" s="663"/>
      <c r="T40" s="663"/>
      <c r="U40" s="660"/>
      <c r="V40" s="656"/>
      <c r="W40" s="662"/>
      <c r="X40" s="664"/>
      <c r="Y40" s="660"/>
      <c r="Z40" s="656"/>
      <c r="AA40" s="665"/>
      <c r="AB40" s="662"/>
    </row>
    <row r="41" spans="1:28" s="6" customFormat="1" ht="12.75">
      <c r="A41" s="1"/>
      <c r="B41" s="1424" t="s">
        <v>238</v>
      </c>
      <c r="C41" s="1435"/>
      <c r="D41" s="1438">
        <v>84</v>
      </c>
      <c r="E41" s="1418">
        <f>D41/$D$71</f>
        <v>0.09940828402366864</v>
      </c>
      <c r="F41" s="1415">
        <f>COUNTA(K41:AB45)</f>
        <v>16</v>
      </c>
      <c r="G41" s="1418">
        <f>F41/D41</f>
        <v>0.19047619047619047</v>
      </c>
      <c r="H41" s="1467">
        <f>$K$5*COUNTA(K41:K45)+$L$5*COUNTA(L41:L45)+$M$5*COUNTA(M41:M45)+$N$5*COUNTA(N41:N45)+$P$5*COUNTA(P41:P45)+$Q$5*COUNTA(Q41:Q45)+$R$5*COUNTA(R41:R45)+$S$5*COUNTA(S41:S45)+$T$5*COUNTA(T41:T45)+$U$5*COUNTA(U41:U45)+$V$5*COUNTA(V41:V45)+$W$5*COUNTA(W41:W45)+$X$5*COUNTA(X41:X45)+$Z$5*COUNTA(Z41:Z45)+$Y$5*COUNTA(Y41:Y45)+$AA$5*COUNTA(AA41:AA45)+$AB$5*COUNTA(AB41:AB45)+$O$5*COUNTA(O41:O45)-221.88</f>
        <v>5288.34</v>
      </c>
      <c r="I41" s="1387">
        <f>H41/H71</f>
        <v>0.10259151067150832</v>
      </c>
      <c r="J41" s="1390">
        <f>H41/D41</f>
        <v>62.956428571428575</v>
      </c>
      <c r="K41" s="638">
        <v>32</v>
      </c>
      <c r="L41" s="639"/>
      <c r="M41" s="639">
        <v>24</v>
      </c>
      <c r="N41" s="639">
        <v>414</v>
      </c>
      <c r="O41" s="642"/>
      <c r="P41" s="642">
        <v>812</v>
      </c>
      <c r="Q41" s="642"/>
      <c r="R41" s="646"/>
      <c r="S41" s="645"/>
      <c r="T41" s="645"/>
      <c r="U41" s="642">
        <v>749</v>
      </c>
      <c r="V41" s="638"/>
      <c r="W41" s="644"/>
      <c r="X41" s="646"/>
      <c r="Y41" s="642">
        <v>441</v>
      </c>
      <c r="Z41" s="638"/>
      <c r="AA41" s="639"/>
      <c r="AB41" s="644">
        <v>166</v>
      </c>
    </row>
    <row r="42" spans="1:28" s="6" customFormat="1" ht="12.75">
      <c r="A42" s="1"/>
      <c r="B42" s="1432"/>
      <c r="C42" s="1433"/>
      <c r="D42" s="1434"/>
      <c r="E42" s="1419"/>
      <c r="F42" s="1416"/>
      <c r="G42" s="1419"/>
      <c r="H42" s="1468"/>
      <c r="I42" s="1388"/>
      <c r="J42" s="1391"/>
      <c r="K42" s="647">
        <v>215</v>
      </c>
      <c r="L42" s="648"/>
      <c r="M42" s="648"/>
      <c r="N42" s="648">
        <v>599</v>
      </c>
      <c r="O42" s="651"/>
      <c r="P42" s="651"/>
      <c r="Q42" s="651"/>
      <c r="R42" s="655"/>
      <c r="S42" s="654"/>
      <c r="T42" s="654"/>
      <c r="U42" s="651">
        <v>767</v>
      </c>
      <c r="V42" s="647"/>
      <c r="W42" s="653"/>
      <c r="X42" s="655"/>
      <c r="Y42" s="651"/>
      <c r="Z42" s="647"/>
      <c r="AA42" s="648"/>
      <c r="AB42" s="653">
        <v>37</v>
      </c>
    </row>
    <row r="43" spans="1:28" s="6" customFormat="1" ht="12.75">
      <c r="A43" s="1"/>
      <c r="B43" s="1432"/>
      <c r="C43" s="1433"/>
      <c r="D43" s="1434"/>
      <c r="E43" s="1419"/>
      <c r="F43" s="1416"/>
      <c r="G43" s="1419"/>
      <c r="H43" s="1468"/>
      <c r="I43" s="1388"/>
      <c r="J43" s="1391"/>
      <c r="K43" s="668"/>
      <c r="L43" s="677"/>
      <c r="M43" s="677"/>
      <c r="N43" s="677">
        <v>355</v>
      </c>
      <c r="O43" s="672"/>
      <c r="P43" s="672"/>
      <c r="Q43" s="672"/>
      <c r="R43" s="676"/>
      <c r="S43" s="675"/>
      <c r="T43" s="675"/>
      <c r="U43" s="672"/>
      <c r="V43" s="668"/>
      <c r="W43" s="674"/>
      <c r="X43" s="676"/>
      <c r="Y43" s="672"/>
      <c r="Z43" s="668"/>
      <c r="AA43" s="677"/>
      <c r="AB43" s="674">
        <v>695</v>
      </c>
    </row>
    <row r="44" spans="1:28" s="6" customFormat="1" ht="12.75">
      <c r="A44" s="1"/>
      <c r="B44" s="1432"/>
      <c r="C44" s="1433"/>
      <c r="D44" s="1434"/>
      <c r="E44" s="1419"/>
      <c r="F44" s="1416"/>
      <c r="G44" s="1419"/>
      <c r="H44" s="1468"/>
      <c r="I44" s="1388"/>
      <c r="J44" s="1391"/>
      <c r="K44" s="668"/>
      <c r="L44" s="677"/>
      <c r="M44" s="677"/>
      <c r="N44" s="677">
        <v>822</v>
      </c>
      <c r="O44" s="672"/>
      <c r="P44" s="672"/>
      <c r="Q44" s="672"/>
      <c r="R44" s="676"/>
      <c r="S44" s="675"/>
      <c r="T44" s="675"/>
      <c r="U44" s="672"/>
      <c r="V44" s="668"/>
      <c r="W44" s="674"/>
      <c r="X44" s="676"/>
      <c r="Y44" s="672"/>
      <c r="Z44" s="668"/>
      <c r="AA44" s="677"/>
      <c r="AB44" s="674">
        <v>1527</v>
      </c>
    </row>
    <row r="45" spans="1:28" s="6" customFormat="1" ht="13.5" thickBot="1">
      <c r="A45" s="1"/>
      <c r="B45" s="1436"/>
      <c r="C45" s="1437"/>
      <c r="D45" s="1439"/>
      <c r="E45" s="1420"/>
      <c r="F45" s="1417"/>
      <c r="G45" s="1420"/>
      <c r="H45" s="1469"/>
      <c r="I45" s="1389"/>
      <c r="J45" s="1392"/>
      <c r="K45" s="656"/>
      <c r="L45" s="665"/>
      <c r="M45" s="665"/>
      <c r="N45" s="665"/>
      <c r="O45" s="660"/>
      <c r="P45" s="660"/>
      <c r="Q45" s="660"/>
      <c r="R45" s="664"/>
      <c r="S45" s="663"/>
      <c r="T45" s="663"/>
      <c r="U45" s="660"/>
      <c r="V45" s="656"/>
      <c r="W45" s="662"/>
      <c r="X45" s="664"/>
      <c r="Y45" s="660"/>
      <c r="Z45" s="656"/>
      <c r="AA45" s="665"/>
      <c r="AB45" s="662">
        <v>910</v>
      </c>
    </row>
    <row r="46" spans="2:28" s="1" customFormat="1" ht="12.75">
      <c r="B46" s="1473" t="s">
        <v>239</v>
      </c>
      <c r="C46" s="1474"/>
      <c r="D46" s="1475">
        <v>111</v>
      </c>
      <c r="E46" s="1476">
        <f>D46/$D$71</f>
        <v>0.13136094674556212</v>
      </c>
      <c r="F46" s="1415">
        <f>COUNTA(K46:AB50)</f>
        <v>26</v>
      </c>
      <c r="G46" s="1418">
        <f>F46/D46</f>
        <v>0.23423423423423423</v>
      </c>
      <c r="H46" s="1467">
        <f>$K$5*COUNTA(K46:K50)+$L$5*COUNTA(L46:L50)+$M$5*COUNTA(M46:M50)+$N$5*COUNTA(N46:N50)+$P$5*COUNTA(P46:P50)+$Q$5*COUNTA(Q46:Q50)+$R$5*COUNTA(R46:R50)+$S$5*COUNTA(S46:S50)+$T$5*COUNTA(T46:T50)+$U$5*COUNTA(U46:U50)+$V$5*COUNTA(V46:V50)+$W$5*COUNTA(W46:W50)+$X$5*COUNTA(X46:X50)+$Z$5*COUNTA(Z46:Z50)+$Y$5*COUNTA(Y46:Y50)+$AA$5*COUNTA(AA46:AA50)+$AB$5*COUNTA(AB46:AB50)+$O$5*COUNTA(O46:O50)-345</f>
        <v>6488.97</v>
      </c>
      <c r="I46" s="1387">
        <f>H46/H71</f>
        <v>0.12588321382552886</v>
      </c>
      <c r="J46" s="1390">
        <f>H46/D46</f>
        <v>58.45918918918919</v>
      </c>
      <c r="K46" s="638">
        <v>773</v>
      </c>
      <c r="L46" s="639">
        <v>38</v>
      </c>
      <c r="M46" s="639">
        <v>85</v>
      </c>
      <c r="N46" s="639">
        <v>177</v>
      </c>
      <c r="O46" s="642">
        <v>110</v>
      </c>
      <c r="P46" s="642"/>
      <c r="Q46" s="642"/>
      <c r="R46" s="646"/>
      <c r="S46" s="645">
        <v>604</v>
      </c>
      <c r="T46" s="645"/>
      <c r="U46" s="642">
        <v>476</v>
      </c>
      <c r="V46" s="638">
        <v>198</v>
      </c>
      <c r="W46" s="644">
        <v>51</v>
      </c>
      <c r="X46" s="646">
        <v>283</v>
      </c>
      <c r="Y46" s="642">
        <v>543</v>
      </c>
      <c r="Z46" s="638"/>
      <c r="AA46" s="639"/>
      <c r="AB46" s="644">
        <v>654</v>
      </c>
    </row>
    <row r="47" spans="2:28" s="1" customFormat="1" ht="12.75">
      <c r="B47" s="1399"/>
      <c r="C47" s="1400"/>
      <c r="D47" s="1407"/>
      <c r="E47" s="1411"/>
      <c r="F47" s="1416"/>
      <c r="G47" s="1419"/>
      <c r="H47" s="1468"/>
      <c r="I47" s="1388"/>
      <c r="J47" s="1391"/>
      <c r="K47" s="647"/>
      <c r="L47" s="648">
        <v>556</v>
      </c>
      <c r="M47" s="648"/>
      <c r="N47" s="648">
        <v>47</v>
      </c>
      <c r="O47" s="651"/>
      <c r="P47" s="651"/>
      <c r="Q47" s="651"/>
      <c r="R47" s="655"/>
      <c r="S47" s="654"/>
      <c r="T47" s="654"/>
      <c r="U47" s="651">
        <v>832</v>
      </c>
      <c r="V47" s="647">
        <v>907</v>
      </c>
      <c r="W47" s="653"/>
      <c r="X47" s="655"/>
      <c r="Y47" s="651">
        <v>623</v>
      </c>
      <c r="Z47" s="647"/>
      <c r="AA47" s="648"/>
      <c r="AB47" s="653">
        <v>618</v>
      </c>
    </row>
    <row r="48" spans="2:28" s="1" customFormat="1" ht="12.75">
      <c r="B48" s="1399"/>
      <c r="C48" s="1400"/>
      <c r="D48" s="1407"/>
      <c r="E48" s="1411"/>
      <c r="F48" s="1416"/>
      <c r="G48" s="1419"/>
      <c r="H48" s="1468"/>
      <c r="I48" s="1388"/>
      <c r="J48" s="1391"/>
      <c r="K48" s="668"/>
      <c r="L48" s="677">
        <v>382</v>
      </c>
      <c r="M48" s="677"/>
      <c r="N48" s="677">
        <v>625</v>
      </c>
      <c r="O48" s="672"/>
      <c r="P48" s="672"/>
      <c r="Q48" s="672"/>
      <c r="R48" s="676"/>
      <c r="S48" s="675"/>
      <c r="T48" s="675"/>
      <c r="U48" s="672"/>
      <c r="V48" s="668">
        <v>73</v>
      </c>
      <c r="W48" s="674"/>
      <c r="X48" s="676"/>
      <c r="Y48" s="672">
        <v>61</v>
      </c>
      <c r="Z48" s="668"/>
      <c r="AA48" s="677"/>
      <c r="AB48" s="674">
        <v>48</v>
      </c>
    </row>
    <row r="49" spans="2:28" s="1" customFormat="1" ht="12.75">
      <c r="B49" s="1399"/>
      <c r="C49" s="1400"/>
      <c r="D49" s="1407"/>
      <c r="E49" s="1411"/>
      <c r="F49" s="1416"/>
      <c r="G49" s="1419"/>
      <c r="H49" s="1468"/>
      <c r="I49" s="1388"/>
      <c r="J49" s="1391"/>
      <c r="K49" s="668"/>
      <c r="L49" s="677"/>
      <c r="M49" s="677"/>
      <c r="N49" s="677"/>
      <c r="O49" s="672"/>
      <c r="P49" s="672"/>
      <c r="Q49" s="672"/>
      <c r="R49" s="676"/>
      <c r="S49" s="675"/>
      <c r="T49" s="675"/>
      <c r="U49" s="672"/>
      <c r="V49" s="668"/>
      <c r="W49" s="674"/>
      <c r="X49" s="676"/>
      <c r="Y49" s="672">
        <v>819</v>
      </c>
      <c r="Z49" s="668"/>
      <c r="AA49" s="677"/>
      <c r="AB49" s="674">
        <v>901</v>
      </c>
    </row>
    <row r="50" spans="2:28" s="1" customFormat="1" ht="13.5" thickBot="1">
      <c r="B50" s="1401"/>
      <c r="C50" s="1402"/>
      <c r="D50" s="1408"/>
      <c r="E50" s="1412"/>
      <c r="F50" s="1417"/>
      <c r="G50" s="1420"/>
      <c r="H50" s="1469"/>
      <c r="I50" s="1389"/>
      <c r="J50" s="1392"/>
      <c r="K50" s="656"/>
      <c r="L50" s="665"/>
      <c r="M50" s="665"/>
      <c r="N50" s="665"/>
      <c r="O50" s="660"/>
      <c r="P50" s="660"/>
      <c r="Q50" s="660"/>
      <c r="R50" s="664"/>
      <c r="S50" s="663"/>
      <c r="T50" s="663"/>
      <c r="U50" s="660"/>
      <c r="V50" s="656"/>
      <c r="W50" s="662"/>
      <c r="X50" s="664"/>
      <c r="Y50" s="660">
        <v>682</v>
      </c>
      <c r="Z50" s="656"/>
      <c r="AA50" s="665"/>
      <c r="AB50" s="662"/>
    </row>
    <row r="51" spans="2:28" s="1" customFormat="1" ht="12.75">
      <c r="B51" s="1424" t="s">
        <v>240</v>
      </c>
      <c r="C51" s="1435"/>
      <c r="D51" s="1438">
        <v>44</v>
      </c>
      <c r="E51" s="1418">
        <f>D51/$D$71</f>
        <v>0.05207100591715976</v>
      </c>
      <c r="F51" s="1415">
        <f>COUNTA(K51:AB54)</f>
        <v>9</v>
      </c>
      <c r="G51" s="1418">
        <f>F51/D51</f>
        <v>0.20454545454545456</v>
      </c>
      <c r="H51" s="1467">
        <f>$K$5*COUNTA(K51:K54)+$L$5*COUNTA(L51:L54)+$M$5*COUNTA(M51:M54)+$N$5*COUNTA(N51:N54)+$P$5*COUNTA(P51:P54)+$Q$5*COUNTA(Q51:Q54)+$R$5*COUNTA(R51:R54)+$S$5*COUNTA(S51:S54)+$T$5*COUNTA(T51:T54)+$U$5*COUNTA(U51:U54)+$V$5*COUNTA(V51:V54)+$W$5*COUNTA(W51:W54)+$X$5*COUNTA(X51:X54)+$Z$5*COUNTA(Z51:Z54)+$Y$5*COUNTA(Y51:Y54)+$AA$5*COUNTA(AA51:AA54)+$AB$5*COUNTA(AB51:AB54)+$O$5*COUNTA(O51:O54)</f>
        <v>4032.16</v>
      </c>
      <c r="I51" s="1387">
        <f>H51/H71</f>
        <v>0.07822216152312993</v>
      </c>
      <c r="J51" s="1470">
        <f>H51/D51</f>
        <v>91.64</v>
      </c>
      <c r="K51" s="638">
        <v>987</v>
      </c>
      <c r="L51" s="639"/>
      <c r="M51" s="639"/>
      <c r="N51" s="639">
        <v>946</v>
      </c>
      <c r="O51" s="642"/>
      <c r="P51" s="642"/>
      <c r="Q51" s="642"/>
      <c r="R51" s="646">
        <v>588</v>
      </c>
      <c r="S51" s="645"/>
      <c r="T51" s="645"/>
      <c r="U51" s="642">
        <v>821</v>
      </c>
      <c r="V51" s="638"/>
      <c r="W51" s="644"/>
      <c r="X51" s="646"/>
      <c r="Y51" s="642"/>
      <c r="Z51" s="638"/>
      <c r="AA51" s="639"/>
      <c r="AB51" s="644"/>
    </row>
    <row r="52" spans="2:28" s="1" customFormat="1" ht="12.75">
      <c r="B52" s="1432"/>
      <c r="C52" s="1433"/>
      <c r="D52" s="1434"/>
      <c r="E52" s="1419"/>
      <c r="F52" s="1416"/>
      <c r="G52" s="1419"/>
      <c r="H52" s="1468"/>
      <c r="I52" s="1388"/>
      <c r="J52" s="1471"/>
      <c r="K52" s="647">
        <v>90</v>
      </c>
      <c r="L52" s="648"/>
      <c r="M52" s="648"/>
      <c r="N52" s="648">
        <v>511</v>
      </c>
      <c r="O52" s="651"/>
      <c r="P52" s="651"/>
      <c r="Q52" s="651"/>
      <c r="R52" s="655"/>
      <c r="S52" s="654"/>
      <c r="T52" s="654"/>
      <c r="U52" s="651">
        <v>101</v>
      </c>
      <c r="V52" s="647"/>
      <c r="W52" s="653"/>
      <c r="X52" s="655"/>
      <c r="Y52" s="651"/>
      <c r="Z52" s="647"/>
      <c r="AA52" s="648"/>
      <c r="AB52" s="653"/>
    </row>
    <row r="53" spans="2:28" s="1" customFormat="1" ht="12.75">
      <c r="B53" s="1432"/>
      <c r="C53" s="1433"/>
      <c r="D53" s="1434"/>
      <c r="E53" s="1419"/>
      <c r="F53" s="1416"/>
      <c r="G53" s="1419"/>
      <c r="H53" s="1468"/>
      <c r="I53" s="1388"/>
      <c r="J53" s="1471"/>
      <c r="K53" s="668">
        <v>223</v>
      </c>
      <c r="L53" s="677"/>
      <c r="M53" s="677"/>
      <c r="N53" s="677"/>
      <c r="O53" s="672"/>
      <c r="P53" s="672"/>
      <c r="Q53" s="672"/>
      <c r="R53" s="676"/>
      <c r="S53" s="675"/>
      <c r="T53" s="675"/>
      <c r="U53" s="672"/>
      <c r="V53" s="668"/>
      <c r="W53" s="674"/>
      <c r="X53" s="676"/>
      <c r="Y53" s="672"/>
      <c r="Z53" s="668"/>
      <c r="AA53" s="677"/>
      <c r="AB53" s="674"/>
    </row>
    <row r="54" spans="2:28" s="1" customFormat="1" ht="13.5" thickBot="1">
      <c r="B54" s="1436"/>
      <c r="C54" s="1437"/>
      <c r="D54" s="1439"/>
      <c r="E54" s="1420"/>
      <c r="F54" s="1417"/>
      <c r="G54" s="1420"/>
      <c r="H54" s="1469"/>
      <c r="I54" s="1389"/>
      <c r="J54" s="1472"/>
      <c r="K54" s="656">
        <v>955</v>
      </c>
      <c r="L54" s="657"/>
      <c r="M54" s="665"/>
      <c r="N54" s="665"/>
      <c r="O54" s="660"/>
      <c r="P54" s="660"/>
      <c r="Q54" s="660"/>
      <c r="R54" s="664"/>
      <c r="S54" s="663"/>
      <c r="T54" s="663"/>
      <c r="U54" s="660"/>
      <c r="V54" s="656"/>
      <c r="W54" s="662"/>
      <c r="X54" s="664"/>
      <c r="Y54" s="660"/>
      <c r="Z54" s="656"/>
      <c r="AA54" s="665"/>
      <c r="AB54" s="662"/>
    </row>
    <row r="55" spans="2:28" s="1" customFormat="1" ht="12.75">
      <c r="B55" s="1449" t="s">
        <v>241</v>
      </c>
      <c r="C55" s="1450"/>
      <c r="D55" s="1455">
        <v>87</v>
      </c>
      <c r="E55" s="1458">
        <f>D55/$D$71</f>
        <v>0.10295857988165681</v>
      </c>
      <c r="F55" s="1461">
        <f>COUNTA(K55:AB61)</f>
        <v>21</v>
      </c>
      <c r="G55" s="1464">
        <f>F55/D55</f>
        <v>0.2413793103448276</v>
      </c>
      <c r="H55" s="1467">
        <f>$K$5*COUNTA(K55:K61)+$L$5*COUNTA(L55:L61)+$M$5*COUNTA(M55:M61)+$N$5*COUNTA(N55:N61)+$P$5*COUNTA(P55:P61)+$Q$5*COUNTA(Q55:Q61)+$R$5*COUNTA(R55:R61)+$S$5*COUNTA(S55:S61)+$T$5*COUNTA(T55:T61)+$U$5*COUNTA(U55:U61)+$V$5*COUNTA(V55:V61)+$W$5*COUNTA(W55:W61)+$X$5*COUNTA(X55:X61)+$Z$5*COUNTA(Z55:Z61)+$Y$5*COUNTA(Y55:Y61)+$AA$5*COUNTA(AA55:AA61)+$AB$5*COUNTA(AB55:AB61)+$O$5*COUNTA(O55:O61)-234.6</f>
        <v>6237.24</v>
      </c>
      <c r="I55" s="1446">
        <f>H55/H71</f>
        <v>0.1209997606093327</v>
      </c>
      <c r="J55" s="1390">
        <f>H55/D55</f>
        <v>71.69241379310344</v>
      </c>
      <c r="K55" s="692"/>
      <c r="L55" s="639">
        <v>747</v>
      </c>
      <c r="M55" s="639">
        <v>337</v>
      </c>
      <c r="N55" s="639">
        <v>621</v>
      </c>
      <c r="O55" s="642"/>
      <c r="P55" s="642"/>
      <c r="Q55" s="642"/>
      <c r="R55" s="646"/>
      <c r="S55" s="645"/>
      <c r="T55" s="645"/>
      <c r="U55" s="642">
        <v>808</v>
      </c>
      <c r="V55" s="638">
        <v>56</v>
      </c>
      <c r="W55" s="644">
        <v>195</v>
      </c>
      <c r="X55" s="646">
        <v>798</v>
      </c>
      <c r="Y55" s="642">
        <v>235</v>
      </c>
      <c r="Z55" s="638">
        <v>574</v>
      </c>
      <c r="AA55" s="639"/>
      <c r="AB55" s="644"/>
    </row>
    <row r="56" spans="2:28" s="1" customFormat="1" ht="12.75">
      <c r="B56" s="1534"/>
      <c r="C56" s="1535"/>
      <c r="D56" s="1536"/>
      <c r="E56" s="1537"/>
      <c r="F56" s="1462"/>
      <c r="G56" s="1465"/>
      <c r="H56" s="1468"/>
      <c r="I56" s="1447"/>
      <c r="J56" s="1391"/>
      <c r="K56" s="693" t="s">
        <v>242</v>
      </c>
      <c r="L56" s="648">
        <v>229</v>
      </c>
      <c r="M56" s="648"/>
      <c r="N56" s="648">
        <v>690</v>
      </c>
      <c r="O56" s="651"/>
      <c r="P56" s="651"/>
      <c r="Q56" s="651"/>
      <c r="R56" s="655"/>
      <c r="S56" s="654"/>
      <c r="T56" s="654"/>
      <c r="U56" s="651">
        <v>1582</v>
      </c>
      <c r="V56" s="647">
        <v>753</v>
      </c>
      <c r="W56" s="653"/>
      <c r="X56" s="655"/>
      <c r="Y56" s="651">
        <v>49</v>
      </c>
      <c r="Z56" s="647"/>
      <c r="AA56" s="648"/>
      <c r="AB56" s="653"/>
    </row>
    <row r="57" spans="2:28" s="1" customFormat="1" ht="12.75">
      <c r="B57" s="1451"/>
      <c r="C57" s="1452"/>
      <c r="D57" s="1456"/>
      <c r="E57" s="1459"/>
      <c r="F57" s="1462"/>
      <c r="G57" s="1465"/>
      <c r="H57" s="1468"/>
      <c r="I57" s="1447"/>
      <c r="J57" s="1391"/>
      <c r="K57" s="647"/>
      <c r="L57" s="648">
        <v>761</v>
      </c>
      <c r="M57" s="648"/>
      <c r="N57" s="648">
        <v>325</v>
      </c>
      <c r="O57" s="651"/>
      <c r="P57" s="651"/>
      <c r="Q57" s="651"/>
      <c r="R57" s="655"/>
      <c r="S57" s="654"/>
      <c r="T57" s="654"/>
      <c r="U57" s="651"/>
      <c r="V57" s="647"/>
      <c r="W57" s="653"/>
      <c r="X57" s="655"/>
      <c r="Y57" s="651"/>
      <c r="Z57" s="647"/>
      <c r="AA57" s="648"/>
      <c r="AB57" s="653"/>
    </row>
    <row r="58" spans="2:28" s="1" customFormat="1" ht="12.75">
      <c r="B58" s="1543"/>
      <c r="C58" s="1544"/>
      <c r="D58" s="1545"/>
      <c r="E58" s="1546"/>
      <c r="F58" s="1462"/>
      <c r="G58" s="1465"/>
      <c r="H58" s="1468"/>
      <c r="I58" s="1447"/>
      <c r="J58" s="1391"/>
      <c r="K58" s="668"/>
      <c r="L58" s="677"/>
      <c r="M58" s="677"/>
      <c r="N58" s="677">
        <v>134</v>
      </c>
      <c r="O58" s="672"/>
      <c r="P58" s="672"/>
      <c r="Q58" s="672"/>
      <c r="R58" s="676"/>
      <c r="S58" s="675"/>
      <c r="T58" s="675"/>
      <c r="U58" s="672"/>
      <c r="V58" s="668"/>
      <c r="W58" s="674"/>
      <c r="X58" s="676"/>
      <c r="Y58" s="672"/>
      <c r="Z58" s="668"/>
      <c r="AA58" s="677"/>
      <c r="AB58" s="674"/>
    </row>
    <row r="59" spans="2:28" s="1" customFormat="1" ht="12.75">
      <c r="B59" s="1543"/>
      <c r="C59" s="1544"/>
      <c r="D59" s="1545"/>
      <c r="E59" s="1546"/>
      <c r="F59" s="1462"/>
      <c r="G59" s="1465"/>
      <c r="H59" s="1468"/>
      <c r="I59" s="1447"/>
      <c r="J59" s="1391"/>
      <c r="K59" s="668"/>
      <c r="L59" s="677"/>
      <c r="M59" s="677"/>
      <c r="N59" s="677">
        <v>1532</v>
      </c>
      <c r="O59" s="672"/>
      <c r="P59" s="672"/>
      <c r="Q59" s="672"/>
      <c r="R59" s="676"/>
      <c r="S59" s="675"/>
      <c r="T59" s="675"/>
      <c r="U59" s="672"/>
      <c r="V59" s="668"/>
      <c r="W59" s="674"/>
      <c r="X59" s="676"/>
      <c r="Y59" s="672"/>
      <c r="Z59" s="668"/>
      <c r="AA59" s="677"/>
      <c r="AB59" s="674"/>
    </row>
    <row r="60" spans="2:28" s="1" customFormat="1" ht="12.75">
      <c r="B60" s="1543"/>
      <c r="C60" s="1544"/>
      <c r="D60" s="1545"/>
      <c r="E60" s="1546"/>
      <c r="F60" s="1462"/>
      <c r="G60" s="1465"/>
      <c r="H60" s="1468"/>
      <c r="I60" s="1447"/>
      <c r="J60" s="1391"/>
      <c r="K60" s="668"/>
      <c r="L60" s="677"/>
      <c r="M60" s="677"/>
      <c r="N60" s="677">
        <v>1604</v>
      </c>
      <c r="O60" s="672"/>
      <c r="P60" s="672"/>
      <c r="Q60" s="672"/>
      <c r="R60" s="676"/>
      <c r="S60" s="675"/>
      <c r="T60" s="675"/>
      <c r="U60" s="672"/>
      <c r="V60" s="668"/>
      <c r="W60" s="674"/>
      <c r="X60" s="676"/>
      <c r="Y60" s="672"/>
      <c r="Z60" s="668"/>
      <c r="AA60" s="677"/>
      <c r="AB60" s="674"/>
    </row>
    <row r="61" spans="2:28" s="1" customFormat="1" ht="13.5" thickBot="1">
      <c r="B61" s="1453"/>
      <c r="C61" s="1454"/>
      <c r="D61" s="1457"/>
      <c r="E61" s="1460"/>
      <c r="F61" s="1463"/>
      <c r="G61" s="1466"/>
      <c r="H61" s="1469"/>
      <c r="I61" s="1448"/>
      <c r="J61" s="1392"/>
      <c r="K61" s="656"/>
      <c r="L61" s="665"/>
      <c r="M61" s="665"/>
      <c r="N61" s="665">
        <v>256</v>
      </c>
      <c r="O61" s="660"/>
      <c r="P61" s="660"/>
      <c r="Q61" s="660"/>
      <c r="R61" s="664"/>
      <c r="S61" s="663"/>
      <c r="T61" s="663"/>
      <c r="U61" s="660"/>
      <c r="V61" s="656"/>
      <c r="W61" s="662"/>
      <c r="X61" s="664"/>
      <c r="Y61" s="660"/>
      <c r="Z61" s="656"/>
      <c r="AA61" s="665"/>
      <c r="AB61" s="662"/>
    </row>
    <row r="62" spans="2:28" s="1" customFormat="1" ht="12.75">
      <c r="B62" s="1399" t="s">
        <v>243</v>
      </c>
      <c r="C62" s="1400"/>
      <c r="D62" s="1407">
        <v>50</v>
      </c>
      <c r="E62" s="1411">
        <f>D62/$D$71</f>
        <v>0.05917159763313609</v>
      </c>
      <c r="F62" s="1415">
        <f>COUNTA(K62:AB65)</f>
        <v>10</v>
      </c>
      <c r="G62" s="1418">
        <f>F62/D62</f>
        <v>0.2</v>
      </c>
      <c r="H62" s="1467">
        <f>$K$5*COUNTA(K62:K65)+$L$5*COUNTA(L62:L65)+$M$5*COUNTA(M62:M65)+$N$5*COUNTA(N62:N65)+$P$5*COUNTA(P62:P65)+$Q$5*COUNTA(Q62:Q65)+$R$5*COUNTA(R62:R65)+$S$5*COUNTA(S62:S65)+$T$5*COUNTA(T62:T65)+$U$5*COUNTA(U62:U65)+$V$5*COUNTA(V62:V65)+$W$5*COUNTA(W62:W65)+$X$5*COUNTA(X62:X65)+$Z$5*COUNTA(Z62:Z65)+$Y$5*COUNTA(Y62:Y65)+$AA$5*COUNTA(AA62:AA65)+$AB$5*COUNTA(AB62:AB65)+$O$5*COUNTA(O62:O65)</f>
        <v>3220.7</v>
      </c>
      <c r="I62" s="1387">
        <f>H62/H71</f>
        <v>0.06248018819132786</v>
      </c>
      <c r="J62" s="1390">
        <f>H62/D62</f>
        <v>64.414</v>
      </c>
      <c r="K62" s="638"/>
      <c r="L62" s="639">
        <v>394</v>
      </c>
      <c r="M62" s="639">
        <v>895</v>
      </c>
      <c r="N62" s="639">
        <v>460</v>
      </c>
      <c r="O62" s="642"/>
      <c r="P62" s="642"/>
      <c r="Q62" s="642">
        <v>434</v>
      </c>
      <c r="R62" s="646"/>
      <c r="S62" s="645"/>
      <c r="T62" s="645"/>
      <c r="U62" s="642">
        <v>1618</v>
      </c>
      <c r="V62" s="638"/>
      <c r="W62" s="644"/>
      <c r="X62" s="646">
        <v>842</v>
      </c>
      <c r="Y62" s="642"/>
      <c r="Z62" s="638"/>
      <c r="AA62" s="639"/>
      <c r="AB62" s="644"/>
    </row>
    <row r="63" spans="2:28" s="1" customFormat="1" ht="12.75">
      <c r="B63" s="1399"/>
      <c r="C63" s="1400"/>
      <c r="D63" s="1407"/>
      <c r="E63" s="1411"/>
      <c r="F63" s="1416"/>
      <c r="G63" s="1419"/>
      <c r="H63" s="1468"/>
      <c r="I63" s="1388"/>
      <c r="J63" s="1391"/>
      <c r="K63" s="647"/>
      <c r="L63" s="648">
        <v>391</v>
      </c>
      <c r="M63" s="648"/>
      <c r="N63" s="648">
        <v>168</v>
      </c>
      <c r="O63" s="651"/>
      <c r="P63" s="651"/>
      <c r="Q63" s="651"/>
      <c r="R63" s="655"/>
      <c r="S63" s="654"/>
      <c r="T63" s="654"/>
      <c r="U63" s="651">
        <v>892</v>
      </c>
      <c r="V63" s="647"/>
      <c r="W63" s="653"/>
      <c r="X63" s="655"/>
      <c r="Y63" s="651"/>
      <c r="Z63" s="647"/>
      <c r="AA63" s="648"/>
      <c r="AB63" s="653"/>
    </row>
    <row r="64" spans="2:28" s="1" customFormat="1" ht="12.75">
      <c r="B64" s="1399"/>
      <c r="C64" s="1400"/>
      <c r="D64" s="1407"/>
      <c r="E64" s="1411"/>
      <c r="F64" s="1416"/>
      <c r="G64" s="1419"/>
      <c r="H64" s="1468"/>
      <c r="I64" s="1388"/>
      <c r="J64" s="1391"/>
      <c r="K64" s="668"/>
      <c r="L64" s="677"/>
      <c r="M64" s="677"/>
      <c r="N64" s="677">
        <v>171</v>
      </c>
      <c r="O64" s="672"/>
      <c r="P64" s="672"/>
      <c r="Q64" s="672"/>
      <c r="R64" s="676"/>
      <c r="S64" s="675"/>
      <c r="T64" s="675"/>
      <c r="U64" s="672"/>
      <c r="V64" s="668"/>
      <c r="W64" s="674"/>
      <c r="X64" s="676"/>
      <c r="Y64" s="672"/>
      <c r="Z64" s="668"/>
      <c r="AA64" s="677"/>
      <c r="AB64" s="674"/>
    </row>
    <row r="65" spans="1:28" s="6" customFormat="1" ht="15" thickBot="1">
      <c r="A65" s="1"/>
      <c r="B65" s="1401"/>
      <c r="C65" s="1402"/>
      <c r="D65" s="1408"/>
      <c r="E65" s="1412"/>
      <c r="F65" s="1417"/>
      <c r="G65" s="1420"/>
      <c r="H65" s="1469"/>
      <c r="I65" s="1389"/>
      <c r="J65" s="1392"/>
      <c r="K65" s="656"/>
      <c r="L65" s="665"/>
      <c r="M65" s="665"/>
      <c r="N65" s="665"/>
      <c r="O65" s="660"/>
      <c r="P65" s="660"/>
      <c r="Q65" s="660"/>
      <c r="R65" s="664"/>
      <c r="S65" s="663"/>
      <c r="T65" s="663"/>
      <c r="U65" s="660"/>
      <c r="V65" s="656"/>
      <c r="W65" s="662"/>
      <c r="X65" s="664"/>
      <c r="Y65" s="660"/>
      <c r="Z65" s="656"/>
      <c r="AA65" s="665"/>
      <c r="AB65" s="662"/>
    </row>
    <row r="66" spans="2:28" s="1" customFormat="1" ht="15" thickBot="1">
      <c r="B66" s="1440" t="s">
        <v>244</v>
      </c>
      <c r="C66" s="1441"/>
      <c r="D66" s="1442">
        <v>37</v>
      </c>
      <c r="E66" s="1443">
        <f>D66/$D$71</f>
        <v>0.04378698224852071</v>
      </c>
      <c r="F66" s="1415">
        <f>COUNTA(K66:AB69)</f>
        <v>8</v>
      </c>
      <c r="G66" s="1418">
        <f>F66/D66</f>
        <v>0.21621621621621623</v>
      </c>
      <c r="H66" s="1467">
        <f>$K$5*COUNTA(K66:K69)+$L$5*COUNTA(L66:L69)+$M$5*COUNTA(M66:M69)+$N$5*COUNTA(N66:N69)+$P$5*COUNTA(P66:P69)+$Q$5*COUNTA(Q66:Q69)+$R$5*COUNTA(R66:R69)+$S$5*COUNTA(S66:S69)+$T$5*COUNTA(T66:T69)+$U$5*COUNTA(U66:U69)+$V$5*COUNTA(V66:V69)+$W$5*COUNTA(W66:W69)+$X$5*COUNTA(X66:X69)+$Z$5*COUNTA(Z66:Z69)+$Y$5*COUNTA(Y66:Y69)+$AA$5*COUNTA(AA66:AA69)+$AB$5*COUNTA(AB66:AB69)+$O$5*COUNTA(O66:O69)</f>
        <v>2163.28</v>
      </c>
      <c r="I66" s="1387">
        <f>H66/H71</f>
        <v>0.04196669714985431</v>
      </c>
      <c r="J66" s="1390">
        <f>H66/D66</f>
        <v>58.46702702702703</v>
      </c>
      <c r="K66" s="638">
        <v>114</v>
      </c>
      <c r="L66" s="639">
        <v>986</v>
      </c>
      <c r="M66" s="639"/>
      <c r="N66" s="639"/>
      <c r="O66" s="642"/>
      <c r="P66" s="642"/>
      <c r="Q66" s="642"/>
      <c r="R66" s="646"/>
      <c r="S66" s="645"/>
      <c r="T66" s="645">
        <v>552</v>
      </c>
      <c r="U66" s="642">
        <v>1599</v>
      </c>
      <c r="V66" s="638"/>
      <c r="W66" s="644"/>
      <c r="X66" s="646"/>
      <c r="Y66" s="642">
        <v>390</v>
      </c>
      <c r="Z66" s="638"/>
      <c r="AA66" s="639"/>
      <c r="AB66" s="644"/>
    </row>
    <row r="67" spans="2:28" s="1" customFormat="1" ht="15" thickBot="1">
      <c r="B67" s="1440"/>
      <c r="C67" s="1441"/>
      <c r="D67" s="1442"/>
      <c r="E67" s="1443"/>
      <c r="F67" s="1416"/>
      <c r="G67" s="1419"/>
      <c r="H67" s="1468"/>
      <c r="I67" s="1388"/>
      <c r="J67" s="1391"/>
      <c r="K67" s="647"/>
      <c r="L67" s="648">
        <v>262</v>
      </c>
      <c r="M67" s="648"/>
      <c r="N67" s="648"/>
      <c r="O67" s="651"/>
      <c r="P67" s="651"/>
      <c r="Q67" s="651"/>
      <c r="R67" s="655"/>
      <c r="S67" s="654"/>
      <c r="T67" s="654"/>
      <c r="U67" s="651"/>
      <c r="V67" s="647"/>
      <c r="W67" s="653"/>
      <c r="X67" s="655"/>
      <c r="Y67" s="651">
        <v>70</v>
      </c>
      <c r="Z67" s="647">
        <v>700</v>
      </c>
      <c r="AA67" s="648"/>
      <c r="AB67" s="653"/>
    </row>
    <row r="68" spans="2:28" s="1" customFormat="1" ht="15" thickBot="1">
      <c r="B68" s="1440"/>
      <c r="C68" s="1441"/>
      <c r="D68" s="1442"/>
      <c r="E68" s="1443"/>
      <c r="F68" s="1416"/>
      <c r="G68" s="1419"/>
      <c r="H68" s="1468"/>
      <c r="I68" s="1388"/>
      <c r="J68" s="1391"/>
      <c r="K68" s="668"/>
      <c r="L68" s="677"/>
      <c r="M68" s="677"/>
      <c r="N68" s="677"/>
      <c r="O68" s="672"/>
      <c r="P68" s="672"/>
      <c r="Q68" s="672"/>
      <c r="R68" s="676"/>
      <c r="S68" s="675"/>
      <c r="T68" s="675"/>
      <c r="U68" s="672"/>
      <c r="V68" s="668"/>
      <c r="W68" s="674"/>
      <c r="X68" s="676"/>
      <c r="Y68" s="672"/>
      <c r="Z68" s="668"/>
      <c r="AA68" s="677"/>
      <c r="AB68" s="674"/>
    </row>
    <row r="69" spans="2:28" s="1" customFormat="1" ht="15" thickBot="1">
      <c r="B69" s="1440"/>
      <c r="C69" s="1441"/>
      <c r="D69" s="1442"/>
      <c r="E69" s="1443"/>
      <c r="F69" s="1417"/>
      <c r="G69" s="1420"/>
      <c r="H69" s="1469"/>
      <c r="I69" s="1388"/>
      <c r="J69" s="1392"/>
      <c r="K69" s="656"/>
      <c r="L69" s="665"/>
      <c r="M69" s="665"/>
      <c r="N69" s="665"/>
      <c r="O69" s="660"/>
      <c r="P69" s="660"/>
      <c r="Q69" s="660"/>
      <c r="R69" s="664"/>
      <c r="S69" s="663"/>
      <c r="T69" s="663"/>
      <c r="U69" s="660"/>
      <c r="V69" s="656"/>
      <c r="W69" s="662"/>
      <c r="X69" s="664"/>
      <c r="Y69" s="660"/>
      <c r="Z69" s="656"/>
      <c r="AA69" s="665"/>
      <c r="AB69" s="662"/>
    </row>
    <row r="70" spans="1:28" ht="25.5" customHeight="1" thickBot="1">
      <c r="A70" s="5"/>
      <c r="B70" s="1393" t="s">
        <v>45</v>
      </c>
      <c r="C70" s="1394"/>
      <c r="D70" s="555"/>
      <c r="E70" s="556"/>
      <c r="F70" s="555"/>
      <c r="G70" s="556"/>
      <c r="H70" s="557"/>
      <c r="I70" s="558"/>
      <c r="J70" s="558"/>
      <c r="K70" s="559">
        <f aca="true" t="shared" si="0" ref="K70:AB70">COUNTA(K6:K69)</f>
        <v>19</v>
      </c>
      <c r="L70" s="559">
        <f t="shared" si="0"/>
        <v>23</v>
      </c>
      <c r="M70" s="559">
        <f t="shared" si="0"/>
        <v>6</v>
      </c>
      <c r="N70" s="559">
        <f t="shared" si="0"/>
        <v>29</v>
      </c>
      <c r="O70" s="559">
        <f t="shared" si="0"/>
        <v>1</v>
      </c>
      <c r="P70" s="559">
        <f t="shared" si="0"/>
        <v>2</v>
      </c>
      <c r="Q70" s="628">
        <f t="shared" si="0"/>
        <v>2</v>
      </c>
      <c r="R70" s="631">
        <f t="shared" si="0"/>
        <v>2</v>
      </c>
      <c r="S70" s="559">
        <f t="shared" si="0"/>
        <v>6</v>
      </c>
      <c r="T70" s="559">
        <f t="shared" si="0"/>
        <v>2</v>
      </c>
      <c r="U70" s="628">
        <f t="shared" si="0"/>
        <v>23</v>
      </c>
      <c r="V70" s="629">
        <f t="shared" si="0"/>
        <v>7</v>
      </c>
      <c r="W70" s="628">
        <f t="shared" si="0"/>
        <v>2</v>
      </c>
      <c r="X70" s="631">
        <f t="shared" si="0"/>
        <v>6</v>
      </c>
      <c r="Y70" s="628">
        <f t="shared" si="0"/>
        <v>16</v>
      </c>
      <c r="Z70" s="703">
        <f t="shared" si="0"/>
        <v>3</v>
      </c>
      <c r="AA70" s="559">
        <f t="shared" si="0"/>
        <v>2</v>
      </c>
      <c r="AB70" s="559">
        <f t="shared" si="0"/>
        <v>18</v>
      </c>
    </row>
    <row r="71" spans="1:28" ht="26.25" customHeight="1" thickBot="1" thickTop="1">
      <c r="A71" s="5"/>
      <c r="B71" s="1395" t="s">
        <v>161</v>
      </c>
      <c r="C71" s="1396"/>
      <c r="D71" s="565">
        <f>SUM(D6:D69)</f>
        <v>845</v>
      </c>
      <c r="E71" s="566"/>
      <c r="F71" s="565">
        <f>SUM(F6:F69)</f>
        <v>169</v>
      </c>
      <c r="G71" s="567">
        <f>F71/D71</f>
        <v>0.2</v>
      </c>
      <c r="H71" s="697">
        <f>SUM(H6:H69)</f>
        <v>51547.539999999986</v>
      </c>
      <c r="I71" s="569"/>
      <c r="J71" s="570">
        <f>SUM(J6:J69)/22</f>
        <v>40.24490539750697</v>
      </c>
      <c r="K71" s="571">
        <f>K5*K70</f>
        <v>8219.4</v>
      </c>
      <c r="L71" s="571">
        <f>L5*L70</f>
        <v>4407.719999999999</v>
      </c>
      <c r="M71" s="571">
        <f>M5*M70</f>
        <v>1863.3600000000001</v>
      </c>
      <c r="N71" s="571">
        <f>N5*N70-234.6</f>
        <v>11452.4</v>
      </c>
      <c r="O71" s="571">
        <f aca="true" t="shared" si="1" ref="O71:T71">O5*O70</f>
        <v>69.6</v>
      </c>
      <c r="P71" s="571">
        <f t="shared" si="1"/>
        <v>171.48</v>
      </c>
      <c r="Q71" s="571">
        <f t="shared" si="1"/>
        <v>661.8</v>
      </c>
      <c r="R71" s="704">
        <f t="shared" si="1"/>
        <v>1200</v>
      </c>
      <c r="S71" s="571">
        <f t="shared" si="1"/>
        <v>957.6600000000001</v>
      </c>
      <c r="T71" s="571">
        <f t="shared" si="1"/>
        <v>235.2</v>
      </c>
      <c r="U71" s="571">
        <f>U5*U70-221.88-221.88</f>
        <v>9857.480000000001</v>
      </c>
      <c r="V71" s="571">
        <f aca="true" t="shared" si="2" ref="V71:AA71">V5*V70</f>
        <v>854.2800000000001</v>
      </c>
      <c r="W71" s="571">
        <f t="shared" si="2"/>
        <v>639.6</v>
      </c>
      <c r="X71" s="571">
        <f t="shared" si="2"/>
        <v>547.2</v>
      </c>
      <c r="Y71" s="705">
        <f t="shared" si="2"/>
        <v>3855.36</v>
      </c>
      <c r="Z71" s="706">
        <f t="shared" si="2"/>
        <v>900</v>
      </c>
      <c r="AA71" s="571">
        <f t="shared" si="2"/>
        <v>600</v>
      </c>
      <c r="AB71" s="593">
        <f>AB5*AB70-345</f>
        <v>5055</v>
      </c>
    </row>
    <row r="72" spans="2:28" ht="15" customHeight="1" thickBot="1" thickTop="1">
      <c r="B72" s="572"/>
      <c r="C72" s="572"/>
      <c r="D72" s="572"/>
      <c r="E72" s="572"/>
      <c r="F72" s="572"/>
      <c r="G72" s="573"/>
      <c r="H72" s="572"/>
      <c r="I72" s="573"/>
      <c r="J72" s="573"/>
      <c r="K72" s="572"/>
      <c r="L72" s="572"/>
      <c r="M72" s="572"/>
      <c r="N72" s="572"/>
      <c r="O72" s="572"/>
      <c r="P72" s="572"/>
      <c r="Q72" s="572"/>
      <c r="R72" s="572"/>
      <c r="S72" s="572"/>
      <c r="T72" s="572"/>
      <c r="U72" s="572"/>
      <c r="V72" s="572"/>
      <c r="W72" s="572"/>
      <c r="X72" s="572"/>
      <c r="Y72" s="572"/>
      <c r="Z72" s="572"/>
      <c r="AA72" s="572"/>
      <c r="AB72" s="572"/>
    </row>
    <row r="73" spans="2:28" ht="22.5" thickBot="1" thickTop="1">
      <c r="B73" s="1397" t="s">
        <v>58</v>
      </c>
      <c r="C73" s="1398"/>
      <c r="D73" s="1398"/>
      <c r="E73" s="1398"/>
      <c r="F73" s="1398"/>
      <c r="G73" s="1398"/>
      <c r="H73" s="1398"/>
      <c r="I73" s="1398"/>
      <c r="J73" s="1398"/>
      <c r="K73" s="1398"/>
      <c r="L73" s="1398"/>
      <c r="M73" s="574">
        <f>SUM(F6:F69)</f>
        <v>169</v>
      </c>
      <c r="N73" s="575"/>
      <c r="O73" s="708"/>
      <c r="P73" s="1553"/>
      <c r="Q73" s="1553"/>
      <c r="R73" s="1553"/>
      <c r="S73" s="576"/>
      <c r="T73" s="576"/>
      <c r="U73" s="576"/>
      <c r="V73" s="576"/>
      <c r="W73" s="576"/>
      <c r="X73" s="576"/>
      <c r="Y73" s="578"/>
      <c r="Z73" s="576"/>
      <c r="AA73" s="576"/>
      <c r="AB73" s="576"/>
    </row>
    <row r="74" ht="13.5" thickTop="1"/>
    <row r="76" ht="12.75">
      <c r="B76" s="707"/>
    </row>
    <row r="77" ht="12.75">
      <c r="B77" s="707"/>
    </row>
    <row r="78" ht="12.75">
      <c r="B78" s="707"/>
    </row>
  </sheetData>
  <sheetProtection/>
  <mergeCells count="133">
    <mergeCell ref="I66:I69"/>
    <mergeCell ref="J66:J69"/>
    <mergeCell ref="B70:C70"/>
    <mergeCell ref="B71:C71"/>
    <mergeCell ref="B73:L73"/>
    <mergeCell ref="E66:E69"/>
    <mergeCell ref="H66:H69"/>
    <mergeCell ref="J55:J61"/>
    <mergeCell ref="I62:I65"/>
    <mergeCell ref="J62:J65"/>
    <mergeCell ref="P73:R73"/>
    <mergeCell ref="B66:C69"/>
    <mergeCell ref="D66:D69"/>
    <mergeCell ref="G62:G65"/>
    <mergeCell ref="H62:H65"/>
    <mergeCell ref="F66:F69"/>
    <mergeCell ref="G66:G69"/>
    <mergeCell ref="I55:I61"/>
    <mergeCell ref="B51:C54"/>
    <mergeCell ref="D51:D54"/>
    <mergeCell ref="B62:C65"/>
    <mergeCell ref="D62:D65"/>
    <mergeCell ref="E62:E65"/>
    <mergeCell ref="F62:F65"/>
    <mergeCell ref="B55:C61"/>
    <mergeCell ref="D55:D61"/>
    <mergeCell ref="E55:E61"/>
    <mergeCell ref="F55:F61"/>
    <mergeCell ref="G55:G61"/>
    <mergeCell ref="H55:H61"/>
    <mergeCell ref="E51:E54"/>
    <mergeCell ref="F51:F54"/>
    <mergeCell ref="G51:G54"/>
    <mergeCell ref="H51:H54"/>
    <mergeCell ref="I41:I45"/>
    <mergeCell ref="J41:J45"/>
    <mergeCell ref="I46:I50"/>
    <mergeCell ref="J46:J50"/>
    <mergeCell ref="I51:I54"/>
    <mergeCell ref="J51:J54"/>
    <mergeCell ref="B46:C50"/>
    <mergeCell ref="D46:D50"/>
    <mergeCell ref="E46:E50"/>
    <mergeCell ref="F46:F50"/>
    <mergeCell ref="G46:G50"/>
    <mergeCell ref="H46:H50"/>
    <mergeCell ref="B41:C45"/>
    <mergeCell ref="D41:D45"/>
    <mergeCell ref="E41:E45"/>
    <mergeCell ref="F41:F45"/>
    <mergeCell ref="G41:G45"/>
    <mergeCell ref="H41:H45"/>
    <mergeCell ref="AC32:AC36"/>
    <mergeCell ref="B37:C40"/>
    <mergeCell ref="D37:D40"/>
    <mergeCell ref="E37:E40"/>
    <mergeCell ref="F37:F40"/>
    <mergeCell ref="G37:G40"/>
    <mergeCell ref="H37:H40"/>
    <mergeCell ref="I37:I40"/>
    <mergeCell ref="J37:J40"/>
    <mergeCell ref="I27:I31"/>
    <mergeCell ref="J27:J31"/>
    <mergeCell ref="B32:C36"/>
    <mergeCell ref="D32:D36"/>
    <mergeCell ref="E32:E36"/>
    <mergeCell ref="F32:F36"/>
    <mergeCell ref="G32:G36"/>
    <mergeCell ref="H32:H36"/>
    <mergeCell ref="I32:I36"/>
    <mergeCell ref="J32:J36"/>
    <mergeCell ref="B27:C31"/>
    <mergeCell ref="D27:D31"/>
    <mergeCell ref="E27:E31"/>
    <mergeCell ref="F27:F31"/>
    <mergeCell ref="G27:G31"/>
    <mergeCell ref="H27:H31"/>
    <mergeCell ref="I21:I23"/>
    <mergeCell ref="J21:J23"/>
    <mergeCell ref="B24:C26"/>
    <mergeCell ref="D24:D26"/>
    <mergeCell ref="E24:E26"/>
    <mergeCell ref="F24:F26"/>
    <mergeCell ref="G24:G26"/>
    <mergeCell ref="H24:H26"/>
    <mergeCell ref="I24:I26"/>
    <mergeCell ref="J24:J26"/>
    <mergeCell ref="B21:C23"/>
    <mergeCell ref="D21:D23"/>
    <mergeCell ref="E21:E23"/>
    <mergeCell ref="F21:F23"/>
    <mergeCell ref="G21:G23"/>
    <mergeCell ref="H21:H23"/>
    <mergeCell ref="J9:J16"/>
    <mergeCell ref="B17:C20"/>
    <mergeCell ref="D17:D20"/>
    <mergeCell ref="E17:E20"/>
    <mergeCell ref="F17:F20"/>
    <mergeCell ref="G17:G20"/>
    <mergeCell ref="H17:H20"/>
    <mergeCell ref="I17:I20"/>
    <mergeCell ref="J17:J20"/>
    <mergeCell ref="H6:H8"/>
    <mergeCell ref="I6:I8"/>
    <mergeCell ref="J6:J8"/>
    <mergeCell ref="B9:C16"/>
    <mergeCell ref="D9:D16"/>
    <mergeCell ref="E9:E16"/>
    <mergeCell ref="F9:F16"/>
    <mergeCell ref="G9:G16"/>
    <mergeCell ref="H9:H16"/>
    <mergeCell ref="I9:I16"/>
    <mergeCell ref="B5:C5"/>
    <mergeCell ref="B6:C8"/>
    <mergeCell ref="D6:D8"/>
    <mergeCell ref="E6:E8"/>
    <mergeCell ref="F6:F8"/>
    <mergeCell ref="G6:G8"/>
    <mergeCell ref="Y2:Y3"/>
    <mergeCell ref="Z2:AB2"/>
    <mergeCell ref="B4:C4"/>
    <mergeCell ref="B2:C3"/>
    <mergeCell ref="D2:D3"/>
    <mergeCell ref="E2:E3"/>
    <mergeCell ref="F2:F3"/>
    <mergeCell ref="G2:G3"/>
    <mergeCell ref="H2:H3"/>
    <mergeCell ref="I2:I3"/>
    <mergeCell ref="J2:J3"/>
    <mergeCell ref="K2:P2"/>
    <mergeCell ref="S2:U2"/>
    <mergeCell ref="V2:W2"/>
    <mergeCell ref="X2:X3"/>
  </mergeCells>
  <printOptions/>
  <pageMargins left="0.47" right="0.2" top="0.16" bottom="0.31" header="0.28" footer="0.31"/>
  <pageSetup fitToHeight="1" fitToWidth="1" horizontalDpi="600" verticalDpi="600" orientation="landscape" paperSize="8" scale="61"/>
  <headerFooter alignWithMargins="0">
    <oddFooter>&amp;C&amp;K000000&amp;D&amp;R&amp;"Calibri,Gras"&amp;12&amp;K000000DOTATIONS MATERIELS CLUBS 2015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84"/>
  <sheetViews>
    <sheetView showGridLines="0" zoomScalePageLayoutView="0" workbookViewId="0" topLeftCell="B1">
      <pane xSplit="10" ySplit="5" topLeftCell="L6" activePane="bottomRight" state="frozen"/>
      <selection pane="topLeft" activeCell="B1" sqref="B1"/>
      <selection pane="topRight" activeCell="K1" sqref="K1"/>
      <selection pane="bottomLeft" activeCell="B6" sqref="B6"/>
      <selection pane="bottomRight" activeCell="L7" sqref="L7"/>
    </sheetView>
  </sheetViews>
  <sheetFormatPr defaultColWidth="11.421875" defaultRowHeight="12.75"/>
  <cols>
    <col min="1" max="2" width="2.421875" style="709" customWidth="1"/>
    <col min="3" max="3" width="12.7109375" style="709" customWidth="1"/>
    <col min="4" max="4" width="10.00390625" style="709" customWidth="1"/>
    <col min="5" max="5" width="9.28125" style="829" customWidth="1"/>
    <col min="6" max="6" width="10.421875" style="829" bestFit="1" customWidth="1"/>
    <col min="7" max="7" width="7.8515625" style="829" bestFit="1" customWidth="1"/>
    <col min="8" max="8" width="11.8515625" style="830" bestFit="1" customWidth="1"/>
    <col min="9" max="9" width="11.00390625" style="829" bestFit="1" customWidth="1"/>
    <col min="10" max="10" width="10.28125" style="830" bestFit="1" customWidth="1"/>
    <col min="11" max="11" width="9.00390625" style="830" bestFit="1" customWidth="1"/>
    <col min="12" max="13" width="9.00390625" style="830" customWidth="1"/>
    <col min="14" max="14" width="11.421875" style="830" customWidth="1"/>
    <col min="15" max="15" width="11.140625" style="714" bestFit="1" customWidth="1"/>
    <col min="16" max="16" width="11.00390625" style="714" bestFit="1" customWidth="1"/>
    <col min="17" max="17" width="13.7109375" style="714" bestFit="1" customWidth="1"/>
    <col min="18" max="18" width="11.28125" style="714" customWidth="1"/>
    <col min="19" max="19" width="10.8515625" style="714" customWidth="1"/>
    <col min="20" max="20" width="12.421875" style="714" bestFit="1" customWidth="1"/>
    <col min="21" max="21" width="11.28125" style="714" customWidth="1"/>
    <col min="22" max="22" width="12.00390625" style="714" bestFit="1" customWidth="1"/>
    <col min="23" max="23" width="11.28125" style="714" customWidth="1"/>
    <col min="24" max="24" width="11.140625" style="715" bestFit="1" customWidth="1"/>
    <col min="25" max="25" width="9.421875" style="714" bestFit="1" customWidth="1"/>
    <col min="26" max="27" width="9.421875" style="714" customWidth="1"/>
    <col min="28" max="28" width="10.28125" style="714" bestFit="1" customWidth="1"/>
    <col min="29" max="29" width="9.28125" style="714" bestFit="1" customWidth="1"/>
    <col min="30" max="30" width="14.7109375" style="709" bestFit="1" customWidth="1"/>
    <col min="31" max="16384" width="10.8515625" style="709" customWidth="1"/>
  </cols>
  <sheetData>
    <row r="1" spans="3:14" ht="16.5" thickBot="1">
      <c r="C1" s="710"/>
      <c r="D1" s="710"/>
      <c r="E1" s="711"/>
      <c r="F1" s="711"/>
      <c r="G1" s="711"/>
      <c r="H1" s="712"/>
      <c r="I1" s="711"/>
      <c r="J1" s="712"/>
      <c r="K1" s="713"/>
      <c r="L1" s="713"/>
      <c r="M1" s="713"/>
      <c r="N1" s="713"/>
    </row>
    <row r="2" spans="1:29" ht="64.5" thickBot="1">
      <c r="A2" s="710"/>
      <c r="B2" s="710"/>
      <c r="C2" s="1658" t="s">
        <v>218</v>
      </c>
      <c r="D2" s="1659"/>
      <c r="E2" s="1662" t="s">
        <v>245</v>
      </c>
      <c r="F2" s="1650" t="s">
        <v>220</v>
      </c>
      <c r="G2" s="1662" t="s">
        <v>121</v>
      </c>
      <c r="H2" s="1650" t="s">
        <v>221</v>
      </c>
      <c r="I2" s="1662" t="s">
        <v>222</v>
      </c>
      <c r="J2" s="1650" t="s">
        <v>223</v>
      </c>
      <c r="K2" s="1652" t="s">
        <v>163</v>
      </c>
      <c r="L2" s="1568" t="s">
        <v>246</v>
      </c>
      <c r="M2" s="1654"/>
      <c r="N2" s="1654"/>
      <c r="O2" s="1654"/>
      <c r="P2" s="1654"/>
      <c r="Q2" s="831" t="s">
        <v>247</v>
      </c>
      <c r="R2" s="1655" t="s">
        <v>248</v>
      </c>
      <c r="S2" s="1656"/>
      <c r="T2" s="832" t="s">
        <v>125</v>
      </c>
      <c r="U2" s="831" t="s">
        <v>249</v>
      </c>
      <c r="V2" s="831" t="s">
        <v>250</v>
      </c>
      <c r="W2" s="833" t="s">
        <v>2</v>
      </c>
      <c r="X2" s="1641" t="s">
        <v>18</v>
      </c>
      <c r="Y2" s="1568" t="s">
        <v>126</v>
      </c>
      <c r="Z2" s="1657"/>
      <c r="AA2" s="1641" t="s">
        <v>19</v>
      </c>
      <c r="AB2" s="1570" t="s">
        <v>17</v>
      </c>
      <c r="AC2" s="1641" t="s">
        <v>3</v>
      </c>
    </row>
    <row r="3" spans="1:30" ht="102.75" thickBot="1">
      <c r="A3" s="716"/>
      <c r="B3" s="716"/>
      <c r="C3" s="1660"/>
      <c r="D3" s="1661"/>
      <c r="E3" s="1663"/>
      <c r="F3" s="1651"/>
      <c r="G3" s="1663"/>
      <c r="H3" s="1651"/>
      <c r="I3" s="1663"/>
      <c r="J3" s="1651"/>
      <c r="K3" s="1653"/>
      <c r="L3" s="730" t="s">
        <v>251</v>
      </c>
      <c r="M3" s="730" t="s">
        <v>252</v>
      </c>
      <c r="N3" s="730" t="s">
        <v>253</v>
      </c>
      <c r="O3" s="730" t="s">
        <v>254</v>
      </c>
      <c r="P3" s="731" t="s">
        <v>255</v>
      </c>
      <c r="Q3" s="717" t="s">
        <v>256</v>
      </c>
      <c r="R3" s="718" t="s">
        <v>257</v>
      </c>
      <c r="S3" s="719" t="s">
        <v>258</v>
      </c>
      <c r="T3" s="720" t="s">
        <v>259</v>
      </c>
      <c r="U3" s="720" t="s">
        <v>260</v>
      </c>
      <c r="V3" s="720" t="s">
        <v>261</v>
      </c>
      <c r="W3" s="721" t="s">
        <v>262</v>
      </c>
      <c r="X3" s="1642"/>
      <c r="Y3" s="722" t="s">
        <v>263</v>
      </c>
      <c r="Z3" s="719" t="s">
        <v>264</v>
      </c>
      <c r="AA3" s="1642"/>
      <c r="AB3" s="1572"/>
      <c r="AC3" s="1642"/>
      <c r="AD3" s="723"/>
    </row>
    <row r="4" spans="1:30" s="741" customFormat="1" ht="39" thickBot="1">
      <c r="A4" s="724"/>
      <c r="B4" s="724"/>
      <c r="C4" s="1643" t="s">
        <v>129</v>
      </c>
      <c r="D4" s="1644"/>
      <c r="E4" s="725"/>
      <c r="F4" s="726"/>
      <c r="G4" s="725"/>
      <c r="H4" s="726"/>
      <c r="I4" s="725"/>
      <c r="J4" s="726"/>
      <c r="K4" s="727"/>
      <c r="L4" s="728" t="s">
        <v>134</v>
      </c>
      <c r="M4" s="729" t="s">
        <v>54</v>
      </c>
      <c r="N4" s="730" t="s">
        <v>265</v>
      </c>
      <c r="O4" s="730" t="s">
        <v>265</v>
      </c>
      <c r="P4" s="731" t="s">
        <v>54</v>
      </c>
      <c r="Q4" s="732" t="s">
        <v>135</v>
      </c>
      <c r="R4" s="722" t="s">
        <v>266</v>
      </c>
      <c r="S4" s="733" t="s">
        <v>267</v>
      </c>
      <c r="T4" s="720" t="s">
        <v>185</v>
      </c>
      <c r="U4" s="717" t="s">
        <v>185</v>
      </c>
      <c r="V4" s="717" t="s">
        <v>185</v>
      </c>
      <c r="W4" s="734" t="s">
        <v>265</v>
      </c>
      <c r="X4" s="733" t="s">
        <v>197</v>
      </c>
      <c r="Y4" s="735" t="s">
        <v>265</v>
      </c>
      <c r="Z4" s="736" t="s">
        <v>185</v>
      </c>
      <c r="AA4" s="737"/>
      <c r="AB4" s="738"/>
      <c r="AC4" s="739"/>
      <c r="AD4" s="740"/>
    </row>
    <row r="5" spans="1:30" ht="27" customHeight="1" thickBot="1">
      <c r="A5" s="716"/>
      <c r="B5" s="716"/>
      <c r="C5" s="1645" t="s">
        <v>138</v>
      </c>
      <c r="D5" s="1646"/>
      <c r="E5" s="742"/>
      <c r="F5" s="743"/>
      <c r="G5" s="742"/>
      <c r="H5" s="744"/>
      <c r="I5" s="745"/>
      <c r="J5" s="746"/>
      <c r="K5" s="747"/>
      <c r="L5" s="748">
        <f>'[4]Catalogue DOT 2018'!E4</f>
        <v>79.35</v>
      </c>
      <c r="M5" s="749">
        <f>'[4]Catalogue DOT 2018'!E5</f>
        <v>96.95</v>
      </c>
      <c r="N5" s="750">
        <f>'[4]Catalogue DOT 2018'!E6</f>
        <v>151.9</v>
      </c>
      <c r="O5" s="750">
        <v>106.8</v>
      </c>
      <c r="P5" s="751">
        <f>'[4]Catalogue DOT 2018'!E8</f>
        <v>68.24</v>
      </c>
      <c r="Q5" s="752">
        <f>'[4]Catalogue DOT 2018'!E9</f>
        <v>233.42</v>
      </c>
      <c r="R5" s="753">
        <f>'[4]Catalogue DOT 2018'!E10</f>
        <v>87</v>
      </c>
      <c r="S5" s="751">
        <f>'[4]Catalogue DOT 2018'!E11</f>
        <v>439.2</v>
      </c>
      <c r="T5" s="752">
        <f>'[4]Catalogue DOT 2018'!E12</f>
        <v>743.32</v>
      </c>
      <c r="U5" s="754">
        <f>'[4]Catalogue DOT 2018'!E13</f>
        <v>389.49</v>
      </c>
      <c r="V5" s="754">
        <f>'[4]Catalogue DOT 2018'!E14</f>
        <v>158.27</v>
      </c>
      <c r="W5" s="755">
        <f>'[4]Catalogue DOT 2018'!E7</f>
        <v>106.8</v>
      </c>
      <c r="X5" s="751">
        <f>'[4]Catalogue DOT 2018'!E16</f>
        <v>238.79</v>
      </c>
      <c r="Y5" s="756">
        <f>'[4]Catalogue DOT 2018'!E17</f>
        <v>205.9</v>
      </c>
      <c r="Z5" s="757">
        <v>196.8</v>
      </c>
      <c r="AA5" s="758">
        <v>300</v>
      </c>
      <c r="AB5" s="755">
        <v>300</v>
      </c>
      <c r="AC5" s="759">
        <v>300</v>
      </c>
      <c r="AD5" s="723"/>
    </row>
    <row r="6" spans="3:29" s="760" customFormat="1" ht="15.75">
      <c r="C6" s="1617" t="s">
        <v>229</v>
      </c>
      <c r="D6" s="1647"/>
      <c r="E6" s="1570">
        <v>102</v>
      </c>
      <c r="F6" s="1573">
        <f>E6/$E$77</f>
        <v>0.12099644128113879</v>
      </c>
      <c r="G6" s="1570">
        <f>COUNTA(L6:AC13)</f>
        <v>18</v>
      </c>
      <c r="H6" s="1573">
        <f>G6/E6</f>
        <v>0.17647058823529413</v>
      </c>
      <c r="I6" s="1576">
        <f>$P$5*COUNTA(P6:P13)+$O$5*COUNTA(O6:O13)+$M$5*COUNTA(M6:M13)+$L$5*COUNTA(L6:L13)+$Q$5*COUNTA(Q6:Q13)+$R$5*COUNTA(R6:R13)+$S$5*COUNTA(S6:S13)+$T$5*COUNTA(T6:T13)+$U$5*COUNTA(U6:U13)+$V$5*COUNTA(V6:V13)+$W$5*COUNTA(W6:W13)+$Y$5*COUNTA(Y6:Y13)+$Z$5*COUNTA(Z6:Z13)+$AA$5*COUNTA(AA6:AA13)+$AB$5*COUNTA(AB6:AB13)+$AC$5*COUNTA(AC6:AC13)+$X$5*COUNTA(X6:X13)</f>
        <v>5635.81</v>
      </c>
      <c r="J6" s="1554">
        <f>I6/I77</f>
        <v>0.127739227305747</v>
      </c>
      <c r="K6" s="1556">
        <f>I6/E6</f>
        <v>55.25303921568628</v>
      </c>
      <c r="L6" s="761"/>
      <c r="M6" s="761"/>
      <c r="N6" s="761"/>
      <c r="O6" s="761"/>
      <c r="P6" s="762"/>
      <c r="Q6" s="763">
        <v>544</v>
      </c>
      <c r="R6" s="764"/>
      <c r="S6" s="765"/>
      <c r="T6" s="766"/>
      <c r="U6" s="766"/>
      <c r="V6" s="763"/>
      <c r="W6" s="767"/>
      <c r="X6" s="765"/>
      <c r="Y6" s="764">
        <v>35</v>
      </c>
      <c r="Z6" s="768"/>
      <c r="AA6" s="769"/>
      <c r="AB6" s="767"/>
      <c r="AC6" s="768"/>
    </row>
    <row r="7" spans="3:29" s="760" customFormat="1" ht="15.75">
      <c r="C7" s="1619"/>
      <c r="D7" s="1648"/>
      <c r="E7" s="1571"/>
      <c r="F7" s="1574"/>
      <c r="G7" s="1571"/>
      <c r="H7" s="1574"/>
      <c r="I7" s="1577"/>
      <c r="J7" s="1555"/>
      <c r="K7" s="1557"/>
      <c r="L7" s="770"/>
      <c r="M7" s="770"/>
      <c r="N7" s="770"/>
      <c r="O7" s="770"/>
      <c r="P7" s="771"/>
      <c r="Q7" s="772">
        <v>52</v>
      </c>
      <c r="R7" s="773"/>
      <c r="S7" s="774"/>
      <c r="T7" s="775"/>
      <c r="U7" s="775"/>
      <c r="V7" s="772"/>
      <c r="W7" s="776"/>
      <c r="X7" s="774"/>
      <c r="Y7" s="773">
        <v>1547</v>
      </c>
      <c r="Z7" s="777"/>
      <c r="AA7" s="778"/>
      <c r="AB7" s="776"/>
      <c r="AC7" s="777"/>
    </row>
    <row r="8" spans="3:29" s="760" customFormat="1" ht="15.75">
      <c r="C8" s="1619"/>
      <c r="D8" s="1648"/>
      <c r="E8" s="1571"/>
      <c r="F8" s="1574"/>
      <c r="G8" s="1571"/>
      <c r="H8" s="1574"/>
      <c r="I8" s="1577"/>
      <c r="J8" s="1555"/>
      <c r="K8" s="1557"/>
      <c r="L8" s="779"/>
      <c r="M8" s="779"/>
      <c r="N8" s="779"/>
      <c r="O8" s="779"/>
      <c r="P8" s="780"/>
      <c r="Q8" s="781">
        <v>83</v>
      </c>
      <c r="R8" s="782"/>
      <c r="S8" s="783"/>
      <c r="T8" s="784"/>
      <c r="U8" s="784"/>
      <c r="V8" s="781"/>
      <c r="W8" s="785"/>
      <c r="X8" s="783"/>
      <c r="Y8" s="782"/>
      <c r="Z8" s="786"/>
      <c r="AA8" s="787"/>
      <c r="AB8" s="785"/>
      <c r="AC8" s="786"/>
    </row>
    <row r="9" spans="3:29" s="760" customFormat="1" ht="15.75">
      <c r="C9" s="1619"/>
      <c r="D9" s="1648"/>
      <c r="E9" s="1571"/>
      <c r="F9" s="1574"/>
      <c r="G9" s="1571"/>
      <c r="H9" s="1574"/>
      <c r="I9" s="1577"/>
      <c r="J9" s="1555"/>
      <c r="K9" s="1557"/>
      <c r="L9" s="779"/>
      <c r="M9" s="779"/>
      <c r="N9" s="779"/>
      <c r="O9" s="779"/>
      <c r="P9" s="780"/>
      <c r="Q9" s="781">
        <v>841</v>
      </c>
      <c r="R9" s="782"/>
      <c r="S9" s="783"/>
      <c r="T9" s="784"/>
      <c r="U9" s="784"/>
      <c r="V9" s="781"/>
      <c r="W9" s="785"/>
      <c r="X9" s="783"/>
      <c r="Y9" s="782"/>
      <c r="Z9" s="786"/>
      <c r="AA9" s="787"/>
      <c r="AB9" s="785">
        <v>1647</v>
      </c>
      <c r="AC9" s="786"/>
    </row>
    <row r="10" spans="3:29" s="760" customFormat="1" ht="15.75">
      <c r="C10" s="1619"/>
      <c r="D10" s="1648"/>
      <c r="E10" s="1571"/>
      <c r="F10" s="1574"/>
      <c r="G10" s="1571"/>
      <c r="H10" s="1574"/>
      <c r="I10" s="1577"/>
      <c r="J10" s="1555"/>
      <c r="K10" s="1557"/>
      <c r="L10" s="779"/>
      <c r="M10" s="779"/>
      <c r="N10" s="779"/>
      <c r="O10" s="779"/>
      <c r="P10" s="780"/>
      <c r="Q10" s="781">
        <v>184</v>
      </c>
      <c r="R10" s="782"/>
      <c r="S10" s="783"/>
      <c r="T10" s="784">
        <v>859</v>
      </c>
      <c r="U10" s="784">
        <v>800</v>
      </c>
      <c r="V10" s="781"/>
      <c r="W10" s="785"/>
      <c r="X10" s="783"/>
      <c r="Y10" s="782"/>
      <c r="Z10" s="786"/>
      <c r="AA10" s="787"/>
      <c r="AB10" s="785"/>
      <c r="AC10" s="786"/>
    </row>
    <row r="11" spans="3:29" s="760" customFormat="1" ht="15.75">
      <c r="C11" s="1619"/>
      <c r="D11" s="1648"/>
      <c r="E11" s="1571"/>
      <c r="F11" s="1574"/>
      <c r="G11" s="1571"/>
      <c r="H11" s="1574"/>
      <c r="I11" s="1577"/>
      <c r="J11" s="1555"/>
      <c r="K11" s="1557"/>
      <c r="L11" s="779"/>
      <c r="M11" s="779"/>
      <c r="N11" s="779"/>
      <c r="O11" s="779"/>
      <c r="P11" s="780"/>
      <c r="Q11" s="781">
        <v>315</v>
      </c>
      <c r="R11" s="782"/>
      <c r="S11" s="783"/>
      <c r="T11" s="784">
        <v>1650</v>
      </c>
      <c r="U11" s="784">
        <v>1633</v>
      </c>
      <c r="V11" s="781"/>
      <c r="W11" s="785"/>
      <c r="X11" s="783"/>
      <c r="Y11" s="782">
        <v>497</v>
      </c>
      <c r="Z11" s="786"/>
      <c r="AA11" s="787"/>
      <c r="AB11" s="785"/>
      <c r="AC11" s="786">
        <v>375</v>
      </c>
    </row>
    <row r="12" spans="3:29" s="760" customFormat="1" ht="15.75">
      <c r="C12" s="1619"/>
      <c r="D12" s="1648"/>
      <c r="E12" s="1571"/>
      <c r="F12" s="1574"/>
      <c r="G12" s="1571"/>
      <c r="H12" s="1574"/>
      <c r="I12" s="1577"/>
      <c r="J12" s="1555"/>
      <c r="K12" s="1557"/>
      <c r="L12" s="779">
        <v>69</v>
      </c>
      <c r="M12" s="779"/>
      <c r="N12" s="779"/>
      <c r="O12" s="779"/>
      <c r="P12" s="780"/>
      <c r="Q12" s="781">
        <v>221</v>
      </c>
      <c r="R12" s="782"/>
      <c r="S12" s="783">
        <v>1601</v>
      </c>
      <c r="T12" s="784"/>
      <c r="U12" s="784"/>
      <c r="V12" s="781"/>
      <c r="W12" s="785"/>
      <c r="X12" s="783"/>
      <c r="Y12" s="782"/>
      <c r="Z12" s="786"/>
      <c r="AA12" s="787"/>
      <c r="AB12" s="785"/>
      <c r="AC12" s="786"/>
    </row>
    <row r="13" spans="3:29" s="760" customFormat="1" ht="16.5" thickBot="1">
      <c r="C13" s="1621"/>
      <c r="D13" s="1649"/>
      <c r="E13" s="1572"/>
      <c r="F13" s="1575"/>
      <c r="G13" s="1572"/>
      <c r="H13" s="1575"/>
      <c r="I13" s="1578"/>
      <c r="J13" s="1590"/>
      <c r="K13" s="1558"/>
      <c r="L13" s="788"/>
      <c r="M13" s="788"/>
      <c r="N13" s="788"/>
      <c r="O13" s="788"/>
      <c r="P13" s="789"/>
      <c r="Q13" s="790"/>
      <c r="R13" s="791"/>
      <c r="S13" s="789"/>
      <c r="T13" s="790"/>
      <c r="U13" s="790"/>
      <c r="V13" s="790"/>
      <c r="W13" s="792"/>
      <c r="X13" s="789"/>
      <c r="Y13" s="791"/>
      <c r="Z13" s="793"/>
      <c r="AA13" s="794"/>
      <c r="AB13" s="792"/>
      <c r="AC13" s="793"/>
    </row>
    <row r="14" spans="1:29" s="796" customFormat="1" ht="15.75">
      <c r="A14" s="760"/>
      <c r="B14" s="760"/>
      <c r="C14" s="1619" t="s">
        <v>230</v>
      </c>
      <c r="D14" s="1620"/>
      <c r="E14" s="1571">
        <v>51</v>
      </c>
      <c r="F14" s="1574">
        <f>E14/$E$77</f>
        <v>0.060498220640569395</v>
      </c>
      <c r="G14" s="1570">
        <v>10</v>
      </c>
      <c r="H14" s="1573">
        <f>G14/E14</f>
        <v>0.19607843137254902</v>
      </c>
      <c r="I14" s="1576">
        <f>$L$5*COUNTA(L14:L17)+$M$5*COUNTA(M14:M17)+$O$5*COUNTA(O14:O17)+$P$5*COUNTA(P14:P17)+$Q$5*COUNTA(Q14:Q17)+$R$5*COUNTA(R14:R17)+$S$5*COUNTA(S14:S17)+$T$5*COUNTA(T14:T17)+$U$5*COUNTA(U14:U17)+$V$5*COUNTA(V14:V17)+$W$5*COUNTA(W14:W17)+$X$5*COUNTA(X14:X17)+$Y$5*COUNTA(Y14:Y17)+$Z$5*COUNTA(Z14:Z17)+$AA$5*COUNTA(AA14:AA17)+$AB$5*COUNTA(AB14:AB17)+$AC$5*COUNTA(AC14:AC17)</f>
        <v>2476.1</v>
      </c>
      <c r="J14" s="1554">
        <f>I14/I77</f>
        <v>0.05612238537703721</v>
      </c>
      <c r="K14" s="1556">
        <f>I14/E14</f>
        <v>48.55098039215686</v>
      </c>
      <c r="L14" s="795"/>
      <c r="M14" s="795">
        <v>963</v>
      </c>
      <c r="N14" s="795"/>
      <c r="O14" s="795"/>
      <c r="P14" s="765">
        <v>963</v>
      </c>
      <c r="Q14" s="766">
        <v>240</v>
      </c>
      <c r="R14" s="764"/>
      <c r="S14" s="765"/>
      <c r="T14" s="766"/>
      <c r="U14" s="766">
        <v>539</v>
      </c>
      <c r="V14" s="766"/>
      <c r="W14" s="767"/>
      <c r="X14" s="765">
        <v>963</v>
      </c>
      <c r="Y14" s="764"/>
      <c r="Z14" s="768"/>
      <c r="AA14" s="769"/>
      <c r="AB14" s="767">
        <v>39</v>
      </c>
      <c r="AC14" s="768"/>
    </row>
    <row r="15" spans="1:29" s="796" customFormat="1" ht="15.75">
      <c r="A15" s="760"/>
      <c r="B15" s="760"/>
      <c r="C15" s="1619"/>
      <c r="D15" s="1620"/>
      <c r="E15" s="1571"/>
      <c r="F15" s="1574"/>
      <c r="G15" s="1571"/>
      <c r="H15" s="1574"/>
      <c r="I15" s="1577"/>
      <c r="J15" s="1555"/>
      <c r="K15" s="1557"/>
      <c r="L15" s="797"/>
      <c r="M15" s="797"/>
      <c r="N15" s="797"/>
      <c r="O15" s="797"/>
      <c r="P15" s="771"/>
      <c r="Q15" s="772">
        <v>411</v>
      </c>
      <c r="R15" s="798"/>
      <c r="S15" s="771"/>
      <c r="T15" s="775"/>
      <c r="U15" s="772">
        <v>275</v>
      </c>
      <c r="V15" s="772"/>
      <c r="W15" s="799">
        <v>159</v>
      </c>
      <c r="X15" s="771"/>
      <c r="Y15" s="773">
        <v>409</v>
      </c>
      <c r="Z15" s="777"/>
      <c r="AA15" s="778"/>
      <c r="AB15" s="776"/>
      <c r="AC15" s="800"/>
    </row>
    <row r="16" spans="1:29" s="796" customFormat="1" ht="15.75">
      <c r="A16" s="760"/>
      <c r="B16" s="760"/>
      <c r="C16" s="1619"/>
      <c r="D16" s="1620"/>
      <c r="E16" s="1571"/>
      <c r="F16" s="1574"/>
      <c r="G16" s="1571"/>
      <c r="H16" s="1574"/>
      <c r="I16" s="1577"/>
      <c r="J16" s="1555"/>
      <c r="K16" s="1557"/>
      <c r="L16" s="797"/>
      <c r="M16" s="797"/>
      <c r="N16" s="797"/>
      <c r="O16" s="797"/>
      <c r="P16" s="771"/>
      <c r="Q16" s="772"/>
      <c r="R16" s="798"/>
      <c r="S16" s="771"/>
      <c r="T16" s="775"/>
      <c r="U16" s="772"/>
      <c r="V16" s="772"/>
      <c r="W16" s="799">
        <v>366</v>
      </c>
      <c r="X16" s="771"/>
      <c r="Y16" s="773"/>
      <c r="Z16" s="777"/>
      <c r="AA16" s="778"/>
      <c r="AB16" s="776"/>
      <c r="AC16" s="800"/>
    </row>
    <row r="17" spans="1:29" s="796" customFormat="1" ht="16.5" thickBot="1">
      <c r="A17" s="760"/>
      <c r="B17" s="760"/>
      <c r="C17" s="1619"/>
      <c r="D17" s="1620"/>
      <c r="E17" s="1571"/>
      <c r="F17" s="1574"/>
      <c r="G17" s="1571"/>
      <c r="H17" s="1574"/>
      <c r="I17" s="1577"/>
      <c r="J17" s="1555"/>
      <c r="K17" s="1557"/>
      <c r="L17" s="797"/>
      <c r="M17" s="797"/>
      <c r="N17" s="797"/>
      <c r="O17" s="797"/>
      <c r="P17" s="771"/>
      <c r="Q17" s="772"/>
      <c r="R17" s="798"/>
      <c r="S17" s="771"/>
      <c r="T17" s="775"/>
      <c r="U17" s="772"/>
      <c r="V17" s="772"/>
      <c r="W17" s="799">
        <v>493</v>
      </c>
      <c r="X17" s="771"/>
      <c r="Y17" s="773"/>
      <c r="Z17" s="777"/>
      <c r="AA17" s="778"/>
      <c r="AB17" s="776"/>
      <c r="AC17" s="800"/>
    </row>
    <row r="18" spans="1:29" s="796" customFormat="1" ht="15.75">
      <c r="A18" s="760"/>
      <c r="B18" s="760"/>
      <c r="C18" s="1617" t="s">
        <v>231</v>
      </c>
      <c r="D18" s="1618"/>
      <c r="E18" s="1570">
        <v>45</v>
      </c>
      <c r="F18" s="1573">
        <f>E18/$E$77</f>
        <v>0.05338078291814947</v>
      </c>
      <c r="G18" s="1570">
        <v>11</v>
      </c>
      <c r="H18" s="1573">
        <f>G18/E18</f>
        <v>0.24444444444444444</v>
      </c>
      <c r="I18" s="1576">
        <f>$L$5*COUNTA(L18:L21)+$M$5*COUNTA(M18:M21)+$O$5*COUNTA(O18:O21)+$P$5*COUNTA(P18:P21)+$Q$5*COUNTA(Q18:Q21)+$R$5*COUNTA(R18:R21)+$S$5*COUNTA(S18:S21)+$T$5*COUNTA(T18:T21)+$U$5*COUNTA(U18:U21)+$V$5*COUNTA(V18:V21)+$W$5*COUNTA(W18:W21)+$X$5*COUNTA(X18:X21)+$Y$5*COUNTA(Y18:Y21)+$Z$5*COUNTA(Z18:Z21)+$AA$5*COUNTA(AA18:AA21)+$AB$5*COUNTA(AB18:AB21)+$AC$5*COUNTA(AC18:AC21)</f>
        <v>3715.73</v>
      </c>
      <c r="J18" s="1554">
        <f>I18/I77</f>
        <v>0.08421938977303764</v>
      </c>
      <c r="K18" s="1556">
        <f>I18/E18</f>
        <v>82.57177777777778</v>
      </c>
      <c r="L18" s="795"/>
      <c r="M18" s="795">
        <v>272</v>
      </c>
      <c r="N18" s="795"/>
      <c r="O18" s="795">
        <v>272</v>
      </c>
      <c r="P18" s="765"/>
      <c r="Q18" s="766">
        <v>328</v>
      </c>
      <c r="R18" s="764"/>
      <c r="S18" s="765"/>
      <c r="T18" s="766">
        <v>274</v>
      </c>
      <c r="U18" s="766"/>
      <c r="V18" s="766">
        <v>944</v>
      </c>
      <c r="W18" s="767">
        <v>944</v>
      </c>
      <c r="X18" s="765">
        <v>328</v>
      </c>
      <c r="Y18" s="764"/>
      <c r="Z18" s="768"/>
      <c r="AA18" s="769"/>
      <c r="AB18" s="764"/>
      <c r="AC18" s="768">
        <v>909</v>
      </c>
    </row>
    <row r="19" spans="1:29" s="796" customFormat="1" ht="15.75">
      <c r="A19" s="760"/>
      <c r="B19" s="760"/>
      <c r="C19" s="1619"/>
      <c r="D19" s="1620"/>
      <c r="E19" s="1571"/>
      <c r="F19" s="1574"/>
      <c r="G19" s="1571"/>
      <c r="H19" s="1574"/>
      <c r="I19" s="1577"/>
      <c r="J19" s="1555"/>
      <c r="K19" s="1557"/>
      <c r="L19" s="801"/>
      <c r="M19" s="801">
        <v>1567</v>
      </c>
      <c r="N19" s="801"/>
      <c r="O19" s="801">
        <v>1567</v>
      </c>
      <c r="P19" s="774"/>
      <c r="Q19" s="775">
        <v>1523</v>
      </c>
      <c r="R19" s="773"/>
      <c r="S19" s="774"/>
      <c r="T19" s="775"/>
      <c r="U19" s="775"/>
      <c r="V19" s="775">
        <v>435</v>
      </c>
      <c r="W19" s="776"/>
      <c r="X19" s="774">
        <v>435</v>
      </c>
      <c r="Y19" s="773"/>
      <c r="Z19" s="777"/>
      <c r="AA19" s="778"/>
      <c r="AB19" s="773"/>
      <c r="AC19" s="777"/>
    </row>
    <row r="20" spans="1:29" s="796" customFormat="1" ht="15.75">
      <c r="A20" s="760"/>
      <c r="B20" s="760"/>
      <c r="C20" s="1619"/>
      <c r="D20" s="1620"/>
      <c r="E20" s="1571"/>
      <c r="F20" s="1574"/>
      <c r="G20" s="1571"/>
      <c r="H20" s="1574"/>
      <c r="I20" s="1577"/>
      <c r="J20" s="1555"/>
      <c r="K20" s="1557"/>
      <c r="L20" s="802">
        <v>138</v>
      </c>
      <c r="M20" s="802"/>
      <c r="N20" s="802"/>
      <c r="O20" s="802"/>
      <c r="P20" s="783"/>
      <c r="Q20" s="784"/>
      <c r="R20" s="782"/>
      <c r="S20" s="783"/>
      <c r="T20" s="784"/>
      <c r="U20" s="784"/>
      <c r="V20" s="784"/>
      <c r="W20" s="785"/>
      <c r="X20" s="783">
        <v>138</v>
      </c>
      <c r="Y20" s="782"/>
      <c r="Z20" s="786"/>
      <c r="AA20" s="787"/>
      <c r="AB20" s="782"/>
      <c r="AC20" s="786"/>
    </row>
    <row r="21" spans="1:29" s="796" customFormat="1" ht="16.5" thickBot="1">
      <c r="A21" s="760"/>
      <c r="B21" s="760"/>
      <c r="C21" s="1621"/>
      <c r="D21" s="1622"/>
      <c r="E21" s="1572"/>
      <c r="F21" s="1575"/>
      <c r="G21" s="1572"/>
      <c r="H21" s="1575"/>
      <c r="I21" s="1578"/>
      <c r="J21" s="1590"/>
      <c r="K21" s="1558"/>
      <c r="L21" s="788"/>
      <c r="M21" s="788"/>
      <c r="N21" s="788"/>
      <c r="O21" s="788">
        <v>432</v>
      </c>
      <c r="P21" s="789"/>
      <c r="Q21" s="790">
        <v>515</v>
      </c>
      <c r="R21" s="791"/>
      <c r="S21" s="789"/>
      <c r="T21" s="790"/>
      <c r="U21" s="790"/>
      <c r="V21" s="790"/>
      <c r="W21" s="792"/>
      <c r="X21" s="789">
        <v>515</v>
      </c>
      <c r="Y21" s="791"/>
      <c r="Z21" s="793"/>
      <c r="AA21" s="794"/>
      <c r="AB21" s="791"/>
      <c r="AC21" s="793"/>
    </row>
    <row r="22" spans="1:29" s="796" customFormat="1" ht="15.75">
      <c r="A22" s="760"/>
      <c r="B22" s="760"/>
      <c r="C22" s="1619" t="s">
        <v>232</v>
      </c>
      <c r="D22" s="1620"/>
      <c r="E22" s="1571">
        <v>5</v>
      </c>
      <c r="F22" s="1574">
        <f>E22/$E$77</f>
        <v>0.005931198102016607</v>
      </c>
      <c r="G22" s="1571">
        <f>COUNTA(L22:AC24)-1</f>
        <v>2</v>
      </c>
      <c r="H22" s="1574">
        <f>G22/E22</f>
        <v>0.4</v>
      </c>
      <c r="I22" s="1576">
        <f>$L$5*COUNTA(L22:L24)+$M$5*COUNTA(M22:M24)+$O$5*COUNTA(O22:O24)+$P$5*COUNTA(P22:P24)+$Q$5*COUNTA(Q22:Q24)+$R$5*COUNTA(R22:R24)+$S$5*COUNTA(S22:S24)+$T$5*COUNTA(T22:T24)+$U$5*COUNTA(U22:U24)+$V$5*COUNTA(V22:V24)+$W$5*COUNTA(W22:W24)+$X$5*COUNTA(X22:X24)+$Y$5*COUNTA(Y22:Y24)+$Z$5*COUNTA(Z22:Z24)+$AA$5*COUNTA(AA22:AA24)+$AB$5*COUNTA(AB22:AB24)+$AC$5*COUNTA(AC22:AC24)</f>
        <v>503.75</v>
      </c>
      <c r="J22" s="1555">
        <f>I22/I77</f>
        <v>0.011417814964533942</v>
      </c>
      <c r="K22" s="1556">
        <f>I22/E22</f>
        <v>100.75</v>
      </c>
      <c r="L22" s="795"/>
      <c r="M22" s="795">
        <v>830</v>
      </c>
      <c r="N22" s="795"/>
      <c r="O22" s="795">
        <v>830</v>
      </c>
      <c r="P22" s="765"/>
      <c r="Q22" s="766"/>
      <c r="R22" s="764"/>
      <c r="S22" s="765"/>
      <c r="T22" s="766"/>
      <c r="U22" s="766"/>
      <c r="V22" s="766"/>
      <c r="W22" s="767"/>
      <c r="X22" s="765"/>
      <c r="Y22" s="764"/>
      <c r="Z22" s="768"/>
      <c r="AA22" s="769"/>
      <c r="AB22" s="767"/>
      <c r="AC22" s="768">
        <v>371</v>
      </c>
    </row>
    <row r="23" spans="1:29" s="796" customFormat="1" ht="15.75">
      <c r="A23" s="760"/>
      <c r="B23" s="760"/>
      <c r="C23" s="1619"/>
      <c r="D23" s="1620"/>
      <c r="E23" s="1571"/>
      <c r="F23" s="1574"/>
      <c r="G23" s="1571"/>
      <c r="H23" s="1574"/>
      <c r="I23" s="1577"/>
      <c r="J23" s="1555"/>
      <c r="K23" s="1557"/>
      <c r="L23" s="801"/>
      <c r="M23" s="801"/>
      <c r="N23" s="801"/>
      <c r="O23" s="801"/>
      <c r="P23" s="774"/>
      <c r="Q23" s="775"/>
      <c r="R23" s="773"/>
      <c r="S23" s="774"/>
      <c r="T23" s="775"/>
      <c r="U23" s="775"/>
      <c r="V23" s="775"/>
      <c r="W23" s="776"/>
      <c r="X23" s="774"/>
      <c r="Y23" s="773"/>
      <c r="Z23" s="777"/>
      <c r="AA23" s="778"/>
      <c r="AB23" s="776"/>
      <c r="AC23" s="777"/>
    </row>
    <row r="24" spans="1:29" s="796" customFormat="1" ht="16.5" thickBot="1">
      <c r="A24" s="760"/>
      <c r="B24" s="760"/>
      <c r="C24" s="1619"/>
      <c r="D24" s="1620"/>
      <c r="E24" s="1571"/>
      <c r="F24" s="1574"/>
      <c r="G24" s="1571"/>
      <c r="H24" s="1574"/>
      <c r="I24" s="1578"/>
      <c r="J24" s="1555"/>
      <c r="K24" s="1558"/>
      <c r="L24" s="803"/>
      <c r="M24" s="803"/>
      <c r="N24" s="803"/>
      <c r="O24" s="803"/>
      <c r="P24" s="789"/>
      <c r="Q24" s="790"/>
      <c r="R24" s="791"/>
      <c r="S24" s="789"/>
      <c r="T24" s="790"/>
      <c r="U24" s="790"/>
      <c r="V24" s="790"/>
      <c r="W24" s="792"/>
      <c r="X24" s="789"/>
      <c r="Y24" s="791"/>
      <c r="Z24" s="793"/>
      <c r="AA24" s="794"/>
      <c r="AB24" s="792"/>
      <c r="AC24" s="793"/>
    </row>
    <row r="25" spans="3:29" s="760" customFormat="1" ht="15.75">
      <c r="C25" s="1617" t="s">
        <v>233</v>
      </c>
      <c r="D25" s="1618"/>
      <c r="E25" s="1570">
        <v>45</v>
      </c>
      <c r="F25" s="1573">
        <f>E25/$E$77</f>
        <v>0.05338078291814947</v>
      </c>
      <c r="G25" s="1611">
        <f>COUNTA(L25:AC29)-4</f>
        <v>9</v>
      </c>
      <c r="H25" s="1573">
        <f>G25/E25</f>
        <v>0.2</v>
      </c>
      <c r="I25" s="1576">
        <f>$L$5*COUNTA(L25:L29)+$M$5*COUNTA(M25:M29)+$O$5*COUNTA(O25:O29)+$P$5*COUNTA(P25:P29)+$Q$5*COUNTA(Q25:Q29)+$R$5*COUNTA(R25:R29)+$S$5*COUNTA(S25:S29)+$T$5*COUNTA(T25:T29)+$U$5*COUNTA(U25:U29)+$V$5*COUNTA(V25:V29)+$W$5*COUNTA(W25:W29)+$X$5*COUNTA(X25:X29)+$Y$5*COUNTA(Y25:Y29)+$Z$5*COUNTA(Z25:Z29)+$AA$5*COUNTA(AA25:AA29)+$AB$5*COUNTA(AB25:AB29)+$AC$5*COUNTA(AC25:AC29)</f>
        <v>2022.99</v>
      </c>
      <c r="J25" s="1554">
        <f>I25/I77</f>
        <v>0.04585235830293304</v>
      </c>
      <c r="K25" s="1556">
        <f>I25/E25</f>
        <v>44.955333333333336</v>
      </c>
      <c r="L25" s="795"/>
      <c r="M25" s="795"/>
      <c r="N25" s="795"/>
      <c r="O25" s="795"/>
      <c r="P25" s="765"/>
      <c r="Q25" s="766">
        <v>102</v>
      </c>
      <c r="R25" s="764"/>
      <c r="S25" s="765"/>
      <c r="T25" s="766"/>
      <c r="U25" s="766">
        <v>1610</v>
      </c>
      <c r="V25" s="766"/>
      <c r="W25" s="767"/>
      <c r="X25" s="765"/>
      <c r="Y25" s="764"/>
      <c r="Z25" s="768"/>
      <c r="AA25" s="769"/>
      <c r="AB25" s="767"/>
      <c r="AC25" s="768"/>
    </row>
    <row r="26" spans="3:29" s="760" customFormat="1" ht="15.75">
      <c r="C26" s="1619"/>
      <c r="D26" s="1620"/>
      <c r="E26" s="1571"/>
      <c r="F26" s="1574"/>
      <c r="G26" s="1612"/>
      <c r="H26" s="1574"/>
      <c r="I26" s="1577"/>
      <c r="J26" s="1555"/>
      <c r="K26" s="1557"/>
      <c r="L26" s="801"/>
      <c r="M26" s="801">
        <v>14</v>
      </c>
      <c r="N26" s="801"/>
      <c r="O26" s="801"/>
      <c r="P26" s="774">
        <v>14</v>
      </c>
      <c r="Q26" s="775">
        <v>340</v>
      </c>
      <c r="R26" s="773"/>
      <c r="S26" s="774"/>
      <c r="T26" s="775"/>
      <c r="U26" s="775"/>
      <c r="V26" s="775"/>
      <c r="W26" s="776"/>
      <c r="X26" s="774"/>
      <c r="Y26" s="773">
        <v>650</v>
      </c>
      <c r="Z26" s="777"/>
      <c r="AA26" s="778"/>
      <c r="AB26" s="776">
        <v>194</v>
      </c>
      <c r="AC26" s="777"/>
    </row>
    <row r="27" spans="3:29" s="760" customFormat="1" ht="15.75">
      <c r="C27" s="1619"/>
      <c r="D27" s="1620"/>
      <c r="E27" s="1571"/>
      <c r="F27" s="1574"/>
      <c r="G27" s="1612"/>
      <c r="H27" s="1574"/>
      <c r="I27" s="1577"/>
      <c r="J27" s="1555"/>
      <c r="K27" s="1557"/>
      <c r="L27" s="801"/>
      <c r="M27" s="801">
        <v>107</v>
      </c>
      <c r="N27" s="801"/>
      <c r="O27" s="801"/>
      <c r="P27" s="774">
        <v>107</v>
      </c>
      <c r="Q27" s="775"/>
      <c r="R27" s="773"/>
      <c r="S27" s="774"/>
      <c r="T27" s="775"/>
      <c r="U27" s="775"/>
      <c r="V27" s="775"/>
      <c r="W27" s="776"/>
      <c r="X27" s="774"/>
      <c r="Y27" s="773"/>
      <c r="Z27" s="777"/>
      <c r="AA27" s="778"/>
      <c r="AB27" s="776"/>
      <c r="AC27" s="777"/>
    </row>
    <row r="28" spans="3:29" s="760" customFormat="1" ht="15.75">
      <c r="C28" s="1619"/>
      <c r="D28" s="1620"/>
      <c r="E28" s="1571"/>
      <c r="F28" s="1574"/>
      <c r="G28" s="1612"/>
      <c r="H28" s="1574"/>
      <c r="I28" s="1577"/>
      <c r="J28" s="1555"/>
      <c r="K28" s="1557"/>
      <c r="L28" s="802"/>
      <c r="M28" s="802">
        <v>551</v>
      </c>
      <c r="N28" s="802"/>
      <c r="O28" s="802"/>
      <c r="P28" s="783">
        <v>551</v>
      </c>
      <c r="Q28" s="784"/>
      <c r="R28" s="782"/>
      <c r="S28" s="783"/>
      <c r="T28" s="784"/>
      <c r="U28" s="784"/>
      <c r="V28" s="784"/>
      <c r="W28" s="785"/>
      <c r="X28" s="783"/>
      <c r="Y28" s="782"/>
      <c r="Z28" s="786"/>
      <c r="AA28" s="787"/>
      <c r="AB28" s="785"/>
      <c r="AC28" s="786"/>
    </row>
    <row r="29" spans="3:29" s="760" customFormat="1" ht="16.5" thickBot="1">
      <c r="C29" s="1619"/>
      <c r="D29" s="1620"/>
      <c r="E29" s="1571"/>
      <c r="F29" s="1574"/>
      <c r="G29" s="1613"/>
      <c r="H29" s="1574"/>
      <c r="I29" s="1578"/>
      <c r="J29" s="1555"/>
      <c r="K29" s="1558"/>
      <c r="L29" s="788"/>
      <c r="M29" s="788">
        <v>75</v>
      </c>
      <c r="N29" s="788"/>
      <c r="O29" s="788"/>
      <c r="P29" s="789">
        <v>75</v>
      </c>
      <c r="Q29" s="790"/>
      <c r="R29" s="791"/>
      <c r="S29" s="789"/>
      <c r="T29" s="790"/>
      <c r="U29" s="790"/>
      <c r="V29" s="790"/>
      <c r="W29" s="792"/>
      <c r="X29" s="789"/>
      <c r="Y29" s="791"/>
      <c r="Z29" s="793"/>
      <c r="AA29" s="794"/>
      <c r="AB29" s="792"/>
      <c r="AC29" s="793"/>
    </row>
    <row r="30" spans="1:30" s="796" customFormat="1" ht="15.75">
      <c r="A30" s="760"/>
      <c r="B30" s="760"/>
      <c r="C30" s="1639" t="s">
        <v>234</v>
      </c>
      <c r="D30" s="1617"/>
      <c r="E30" s="1570">
        <v>101</v>
      </c>
      <c r="F30" s="1573">
        <f>E30/$E$77</f>
        <v>0.11981020166073547</v>
      </c>
      <c r="G30" s="1570">
        <f>COUNTA(L30:AC36)-4</f>
        <v>15</v>
      </c>
      <c r="H30" s="1573">
        <f>G30/E30</f>
        <v>0.1485148514851485</v>
      </c>
      <c r="I30" s="1576">
        <f>$L$5*COUNTA(L30:L36)+$M$5*COUNTA(M30:M36)+$O$5*COUNTA(O30:O36)+$P$5*COUNTA(P30:P36)+$Q$5*COUNTA(Q30:Q36)+$R$5*COUNTA(R30:R36)+$S$5*COUNTA(S30:S36)+$T$5*COUNTA(T30:T36)+$U$5*COUNTA(U30:U36)+$V$5*COUNTA(V30:V36)+$W$5*COUNTA(W30:W36)+$X$5*COUNTA(X30:X36)+$Y$5*COUNTA(Y30:Y36)+$Z$5*COUNTA(Z30:Z36)+$AA$5*COUNTA(AA30:AA36)+$AB$5*COUNTA(AB30:AB36)+$AC$5*COUNTA(AC30:AC36)+$N$5*COUNTA(N30:N36)</f>
        <v>3255.78</v>
      </c>
      <c r="J30" s="1554">
        <f>I30/I77</f>
        <v>0.07379432973742993</v>
      </c>
      <c r="K30" s="1556">
        <f>I30/E30</f>
        <v>32.23544554455446</v>
      </c>
      <c r="L30" s="795"/>
      <c r="M30" s="795">
        <v>483</v>
      </c>
      <c r="N30" s="795"/>
      <c r="O30" s="795"/>
      <c r="P30" s="804" t="s">
        <v>268</v>
      </c>
      <c r="Q30" s="766">
        <v>1617</v>
      </c>
      <c r="R30" s="764"/>
      <c r="S30" s="765"/>
      <c r="T30" s="766">
        <v>564</v>
      </c>
      <c r="U30" s="766"/>
      <c r="V30" s="766">
        <v>1662</v>
      </c>
      <c r="W30" s="767"/>
      <c r="X30" s="765">
        <v>524</v>
      </c>
      <c r="Y30" s="764"/>
      <c r="Z30" s="768"/>
      <c r="AA30" s="769"/>
      <c r="AB30" s="767"/>
      <c r="AC30" s="768"/>
      <c r="AD30" s="1632"/>
    </row>
    <row r="31" spans="3:30" s="760" customFormat="1" ht="15.75">
      <c r="C31" s="1640"/>
      <c r="D31" s="1619"/>
      <c r="E31" s="1571"/>
      <c r="F31" s="1574"/>
      <c r="G31" s="1571"/>
      <c r="H31" s="1574"/>
      <c r="I31" s="1577"/>
      <c r="J31" s="1555"/>
      <c r="K31" s="1557"/>
      <c r="L31" s="801"/>
      <c r="M31" s="801">
        <v>617</v>
      </c>
      <c r="N31" s="801"/>
      <c r="O31" s="801">
        <v>617</v>
      </c>
      <c r="P31" s="774"/>
      <c r="Q31" s="775"/>
      <c r="R31" s="773"/>
      <c r="S31" s="774"/>
      <c r="T31" s="775"/>
      <c r="U31" s="775"/>
      <c r="V31" s="775"/>
      <c r="W31" s="776"/>
      <c r="X31" s="774"/>
      <c r="Y31" s="773"/>
      <c r="Z31" s="777"/>
      <c r="AA31" s="778"/>
      <c r="AB31" s="776"/>
      <c r="AC31" s="777"/>
      <c r="AD31" s="1632"/>
    </row>
    <row r="32" spans="3:30" s="760" customFormat="1" ht="15.75">
      <c r="C32" s="1640"/>
      <c r="D32" s="1619"/>
      <c r="E32" s="1571"/>
      <c r="F32" s="1574"/>
      <c r="G32" s="1571"/>
      <c r="H32" s="1574"/>
      <c r="I32" s="1577"/>
      <c r="J32" s="1555"/>
      <c r="K32" s="1557"/>
      <c r="L32" s="802"/>
      <c r="M32" s="802">
        <v>393</v>
      </c>
      <c r="N32" s="802"/>
      <c r="O32" s="802">
        <v>393</v>
      </c>
      <c r="P32" s="783"/>
      <c r="Q32" s="784">
        <v>825</v>
      </c>
      <c r="R32" s="782">
        <v>137</v>
      </c>
      <c r="S32" s="783"/>
      <c r="T32" s="784"/>
      <c r="U32" s="784"/>
      <c r="V32" s="784"/>
      <c r="W32" s="785"/>
      <c r="X32" s="783"/>
      <c r="Y32" s="782"/>
      <c r="Z32" s="786"/>
      <c r="AA32" s="787"/>
      <c r="AB32" s="785"/>
      <c r="AC32" s="786"/>
      <c r="AD32" s="1632"/>
    </row>
    <row r="33" spans="3:30" s="760" customFormat="1" ht="15.75">
      <c r="C33" s="1640"/>
      <c r="D33" s="1619"/>
      <c r="E33" s="1571"/>
      <c r="F33" s="1574"/>
      <c r="G33" s="1571"/>
      <c r="H33" s="1574"/>
      <c r="I33" s="1577"/>
      <c r="J33" s="1555"/>
      <c r="K33" s="1557"/>
      <c r="L33" s="802"/>
      <c r="M33" s="802">
        <v>736</v>
      </c>
      <c r="N33" s="802"/>
      <c r="O33" s="802"/>
      <c r="P33" s="783"/>
      <c r="Q33" s="784"/>
      <c r="R33" s="782"/>
      <c r="S33" s="783"/>
      <c r="T33" s="784"/>
      <c r="U33" s="784"/>
      <c r="V33" s="784"/>
      <c r="W33" s="785"/>
      <c r="X33" s="783"/>
      <c r="Y33" s="782">
        <v>369</v>
      </c>
      <c r="Z33" s="786"/>
      <c r="AA33" s="787"/>
      <c r="AB33" s="785"/>
      <c r="AC33" s="786"/>
      <c r="AD33" s="1632"/>
    </row>
    <row r="34" spans="3:30" s="760" customFormat="1" ht="15.75">
      <c r="C34" s="1640"/>
      <c r="D34" s="1619"/>
      <c r="E34" s="1571"/>
      <c r="F34" s="1574"/>
      <c r="G34" s="1571"/>
      <c r="H34" s="1574"/>
      <c r="I34" s="1577"/>
      <c r="J34" s="1555"/>
      <c r="K34" s="1557"/>
      <c r="L34" s="802"/>
      <c r="M34" s="802"/>
      <c r="N34" s="802">
        <v>316</v>
      </c>
      <c r="O34" s="802"/>
      <c r="P34" s="783"/>
      <c r="Q34" s="784"/>
      <c r="R34" s="782"/>
      <c r="S34" s="783"/>
      <c r="T34" s="784"/>
      <c r="U34" s="784"/>
      <c r="V34" s="784"/>
      <c r="W34" s="785"/>
      <c r="X34" s="783"/>
      <c r="Y34" s="782"/>
      <c r="Z34" s="786"/>
      <c r="AA34" s="787"/>
      <c r="AB34" s="785"/>
      <c r="AC34" s="786"/>
      <c r="AD34" s="1632"/>
    </row>
    <row r="35" spans="3:30" s="760" customFormat="1" ht="15.75">
      <c r="C35" s="1640"/>
      <c r="D35" s="1619"/>
      <c r="E35" s="1571"/>
      <c r="F35" s="1574"/>
      <c r="G35" s="1571"/>
      <c r="H35" s="1574"/>
      <c r="I35" s="1577"/>
      <c r="J35" s="1555"/>
      <c r="K35" s="1557"/>
      <c r="L35" s="802"/>
      <c r="M35" s="802">
        <v>251</v>
      </c>
      <c r="N35" s="802"/>
      <c r="O35" s="802">
        <v>251</v>
      </c>
      <c r="P35" s="783"/>
      <c r="Q35" s="784"/>
      <c r="R35" s="782"/>
      <c r="S35" s="783"/>
      <c r="T35" s="784"/>
      <c r="U35" s="784"/>
      <c r="V35" s="784"/>
      <c r="W35" s="785"/>
      <c r="X35" s="783"/>
      <c r="Y35" s="782"/>
      <c r="Z35" s="786"/>
      <c r="AA35" s="787"/>
      <c r="AB35" s="785"/>
      <c r="AC35" s="786"/>
      <c r="AD35" s="1632"/>
    </row>
    <row r="36" spans="3:30" s="760" customFormat="1" ht="16.5" thickBot="1">
      <c r="C36" s="1640"/>
      <c r="D36" s="1619"/>
      <c r="E36" s="1571"/>
      <c r="F36" s="1574"/>
      <c r="G36" s="1571"/>
      <c r="H36" s="1574"/>
      <c r="I36" s="1578"/>
      <c r="J36" s="1555"/>
      <c r="K36" s="1558"/>
      <c r="L36" s="788"/>
      <c r="M36" s="788">
        <v>386</v>
      </c>
      <c r="N36" s="788"/>
      <c r="O36" s="788"/>
      <c r="P36" s="789"/>
      <c r="Q36" s="790">
        <v>474</v>
      </c>
      <c r="R36" s="791"/>
      <c r="S36" s="789"/>
      <c r="T36" s="790"/>
      <c r="U36" s="790"/>
      <c r="V36" s="790"/>
      <c r="W36" s="792"/>
      <c r="X36" s="789"/>
      <c r="Y36" s="791"/>
      <c r="Z36" s="793"/>
      <c r="AA36" s="794"/>
      <c r="AB36" s="792"/>
      <c r="AC36" s="793"/>
      <c r="AD36" s="1632"/>
    </row>
    <row r="37" spans="3:31" s="760" customFormat="1" ht="15.75">
      <c r="C37" s="1633" t="s">
        <v>237</v>
      </c>
      <c r="D37" s="1634"/>
      <c r="E37" s="1570">
        <v>73</v>
      </c>
      <c r="F37" s="1573">
        <f>E37/$E$77</f>
        <v>0.08659549228944247</v>
      </c>
      <c r="G37" s="1570">
        <f>COUNTA(L37:AC40)-1</f>
        <v>16</v>
      </c>
      <c r="H37" s="1573">
        <f>G37/E37</f>
        <v>0.2191780821917808</v>
      </c>
      <c r="I37" s="1576">
        <f>$L$5*COUNTA(L37:L40)+$M$5*COUNTA(M37:M40)+$O$5*COUNTA(O37:O40)+$P$5*COUNTA(P37:P40)+$Q$5*COUNTA(Q37:Q40)+$R$5*COUNTA(R37:R40)+$S$5*COUNTA(S37:S40)+$T$5*COUNTA(T37:T40)+$U$5*COUNTA(U37:U40)+$V$5*COUNTA(V37:V40)+$W$5*COUNTA(W37:W40)+$X$5*COUNTA(X37:X40)+$Y$5*COUNTA(Y37:Y40)+$Z$5*COUNTA(Z37:Z40)+$AA$5*COUNTA(AA37:AA40)+$AB$5*COUNTA(AB37:AB40)+$AC$5*COUNTA(AC37:AC40)+$N$5*COUNTA(N37:N40)</f>
        <v>4354.48</v>
      </c>
      <c r="J37" s="1554">
        <f>I37/I77</f>
        <v>0.09869706581987843</v>
      </c>
      <c r="K37" s="1556">
        <f>I37/E37</f>
        <v>59.650410958904104</v>
      </c>
      <c r="L37" s="795"/>
      <c r="M37" s="795"/>
      <c r="N37" s="795">
        <v>1643</v>
      </c>
      <c r="O37" s="795">
        <v>1643</v>
      </c>
      <c r="P37" s="765"/>
      <c r="Q37" s="766">
        <v>961</v>
      </c>
      <c r="R37" s="764"/>
      <c r="S37" s="765"/>
      <c r="T37" s="766"/>
      <c r="U37" s="766">
        <v>957</v>
      </c>
      <c r="V37" s="766"/>
      <c r="W37" s="767"/>
      <c r="X37" s="765">
        <v>1551</v>
      </c>
      <c r="Y37" s="764">
        <v>463</v>
      </c>
      <c r="Z37" s="768">
        <v>470</v>
      </c>
      <c r="AA37" s="769">
        <v>744</v>
      </c>
      <c r="AB37" s="767"/>
      <c r="AC37" s="768"/>
      <c r="AD37" s="1630"/>
      <c r="AE37" s="1631"/>
    </row>
    <row r="38" spans="3:30" s="760" customFormat="1" ht="15.75">
      <c r="C38" s="1635"/>
      <c r="D38" s="1636"/>
      <c r="E38" s="1571"/>
      <c r="F38" s="1574"/>
      <c r="G38" s="1571"/>
      <c r="H38" s="1574"/>
      <c r="I38" s="1577"/>
      <c r="J38" s="1555"/>
      <c r="K38" s="1557"/>
      <c r="L38" s="801"/>
      <c r="M38" s="801"/>
      <c r="N38" s="801"/>
      <c r="O38" s="801"/>
      <c r="P38" s="774"/>
      <c r="Q38" s="775">
        <v>1586</v>
      </c>
      <c r="R38" s="773"/>
      <c r="S38" s="774">
        <v>50</v>
      </c>
      <c r="T38" s="775"/>
      <c r="U38" s="775">
        <v>1648</v>
      </c>
      <c r="V38" s="775">
        <v>652</v>
      </c>
      <c r="W38" s="776"/>
      <c r="X38" s="774">
        <v>622</v>
      </c>
      <c r="Y38" s="773"/>
      <c r="Z38" s="777"/>
      <c r="AA38" s="778">
        <v>344</v>
      </c>
      <c r="AB38" s="776"/>
      <c r="AC38" s="777"/>
      <c r="AD38" s="805"/>
    </row>
    <row r="39" spans="3:30" s="760" customFormat="1" ht="15.75">
      <c r="C39" s="1635"/>
      <c r="D39" s="1636"/>
      <c r="E39" s="1571"/>
      <c r="F39" s="1574"/>
      <c r="G39" s="1571"/>
      <c r="H39" s="1574"/>
      <c r="I39" s="1577"/>
      <c r="J39" s="1555"/>
      <c r="K39" s="1557"/>
      <c r="L39" s="802"/>
      <c r="M39" s="802"/>
      <c r="N39" s="802"/>
      <c r="O39" s="802"/>
      <c r="P39" s="783"/>
      <c r="Q39" s="784">
        <v>318</v>
      </c>
      <c r="R39" s="782"/>
      <c r="S39" s="783"/>
      <c r="T39" s="784"/>
      <c r="U39" s="784"/>
      <c r="V39" s="784"/>
      <c r="W39" s="785"/>
      <c r="X39" s="783">
        <v>358</v>
      </c>
      <c r="Y39" s="782"/>
      <c r="Z39" s="786"/>
      <c r="AA39" s="787">
        <v>707</v>
      </c>
      <c r="AB39" s="785"/>
      <c r="AC39" s="786"/>
      <c r="AD39" s="805"/>
    </row>
    <row r="40" spans="3:29" s="760" customFormat="1" ht="16.5" thickBot="1">
      <c r="C40" s="1637"/>
      <c r="D40" s="1638"/>
      <c r="E40" s="1572"/>
      <c r="F40" s="1575"/>
      <c r="G40" s="1572"/>
      <c r="H40" s="1575"/>
      <c r="I40" s="1578"/>
      <c r="J40" s="1590"/>
      <c r="K40" s="1558"/>
      <c r="L40" s="788"/>
      <c r="M40" s="788"/>
      <c r="N40" s="788"/>
      <c r="O40" s="788"/>
      <c r="P40" s="789"/>
      <c r="Q40" s="790"/>
      <c r="R40" s="791"/>
      <c r="S40" s="789"/>
      <c r="T40" s="790"/>
      <c r="U40" s="790"/>
      <c r="V40" s="790"/>
      <c r="W40" s="792"/>
      <c r="X40" s="789"/>
      <c r="Y40" s="791"/>
      <c r="Z40" s="793"/>
      <c r="AA40" s="794"/>
      <c r="AB40" s="792"/>
      <c r="AC40" s="793"/>
    </row>
    <row r="41" spans="1:29" s="796" customFormat="1" ht="15.75">
      <c r="A41" s="760"/>
      <c r="B41" s="760"/>
      <c r="C41" s="1617" t="s">
        <v>238</v>
      </c>
      <c r="D41" s="1618"/>
      <c r="E41" s="1570">
        <v>84</v>
      </c>
      <c r="F41" s="1573">
        <f>E41/$E$77</f>
        <v>0.099644128113879</v>
      </c>
      <c r="G41" s="1570">
        <f>COUNTA(L41:AC47)-6</f>
        <v>15</v>
      </c>
      <c r="H41" s="1573">
        <f>G41/E41</f>
        <v>0.17857142857142858</v>
      </c>
      <c r="I41" s="1576">
        <f>$L$5*COUNTA(L41:L47)+$M$5*COUNTA(M41:M47)+$O$5*COUNTA(O41:O47)+$P$5*COUNTA(P41:P47)+$Q$5*COUNTA(Q41:Q47)+$R$5*COUNTA(R41:R47)+$S$5*COUNTA(S41:S47)+$T$5*COUNTA(T41:T47)+$U$5*COUNTA(U41:U47)+$V$5*COUNTA(V41:V47)+$W$5*COUNTA(W41:W47)+$X$5*COUNTA(X41:X47)+$Y$5*COUNTA(Y41:Y47)+$Z$5*COUNTA(Z41:Z47)+$AA$5*COUNTA(AA41:AA47)+$AB$5*COUNTA(AB41:AB47)+$AC$5*COUNTA(AC41:AC47)</f>
        <v>4634.72</v>
      </c>
      <c r="J41" s="1554">
        <f>I41/I77</f>
        <v>0.10504888411399456</v>
      </c>
      <c r="K41" s="1556">
        <f>I41/E41</f>
        <v>55.1752380952381</v>
      </c>
      <c r="L41" s="795"/>
      <c r="M41" s="795"/>
      <c r="N41" s="795"/>
      <c r="O41" s="795"/>
      <c r="P41" s="765"/>
      <c r="Q41" s="766"/>
      <c r="R41" s="764"/>
      <c r="S41" s="765"/>
      <c r="T41" s="766"/>
      <c r="U41" s="766"/>
      <c r="V41" s="766"/>
      <c r="W41" s="767"/>
      <c r="X41" s="765"/>
      <c r="Y41" s="764"/>
      <c r="Z41" s="768"/>
      <c r="AA41" s="769"/>
      <c r="AB41" s="767"/>
      <c r="AC41" s="768">
        <v>1612</v>
      </c>
    </row>
    <row r="42" spans="1:29" s="796" customFormat="1" ht="15.75">
      <c r="A42" s="760"/>
      <c r="B42" s="760"/>
      <c r="C42" s="1619"/>
      <c r="D42" s="1620"/>
      <c r="E42" s="1571"/>
      <c r="F42" s="1574"/>
      <c r="G42" s="1571"/>
      <c r="H42" s="1574"/>
      <c r="I42" s="1577"/>
      <c r="J42" s="1555"/>
      <c r="K42" s="1557"/>
      <c r="L42" s="801"/>
      <c r="M42" s="801">
        <v>824</v>
      </c>
      <c r="N42" s="801"/>
      <c r="O42" s="801">
        <v>824</v>
      </c>
      <c r="P42" s="774"/>
      <c r="Q42" s="775"/>
      <c r="R42" s="773"/>
      <c r="S42" s="774"/>
      <c r="T42" s="775"/>
      <c r="U42" s="775"/>
      <c r="V42" s="775"/>
      <c r="W42" s="776"/>
      <c r="X42" s="774">
        <v>824</v>
      </c>
      <c r="Y42" s="773"/>
      <c r="Z42" s="777"/>
      <c r="AA42" s="778"/>
      <c r="AB42" s="776"/>
      <c r="AC42" s="777">
        <v>226</v>
      </c>
    </row>
    <row r="43" spans="1:29" s="796" customFormat="1" ht="15.75">
      <c r="A43" s="760"/>
      <c r="B43" s="760"/>
      <c r="C43" s="1619"/>
      <c r="D43" s="1620"/>
      <c r="E43" s="1571"/>
      <c r="F43" s="1574"/>
      <c r="G43" s="1571"/>
      <c r="H43" s="1574"/>
      <c r="I43" s="1577"/>
      <c r="J43" s="1555"/>
      <c r="K43" s="1557"/>
      <c r="L43" s="802"/>
      <c r="M43" s="802">
        <v>32</v>
      </c>
      <c r="N43" s="802"/>
      <c r="O43" s="802">
        <v>32</v>
      </c>
      <c r="P43" s="783"/>
      <c r="Q43" s="784"/>
      <c r="R43" s="782"/>
      <c r="S43" s="783">
        <v>612</v>
      </c>
      <c r="T43" s="784"/>
      <c r="U43" s="784">
        <v>414</v>
      </c>
      <c r="V43" s="784"/>
      <c r="W43" s="785">
        <v>840</v>
      </c>
      <c r="X43" s="783">
        <v>32</v>
      </c>
      <c r="Y43" s="782"/>
      <c r="Z43" s="786"/>
      <c r="AA43" s="787"/>
      <c r="AB43" s="785"/>
      <c r="AC43" s="786"/>
    </row>
    <row r="44" spans="1:29" s="796" customFormat="1" ht="15.75">
      <c r="A44" s="760"/>
      <c r="B44" s="760"/>
      <c r="C44" s="1619"/>
      <c r="D44" s="1620"/>
      <c r="E44" s="1571"/>
      <c r="F44" s="1574"/>
      <c r="G44" s="1571"/>
      <c r="H44" s="1574"/>
      <c r="I44" s="1577"/>
      <c r="J44" s="1555"/>
      <c r="K44" s="1557"/>
      <c r="L44" s="802"/>
      <c r="M44" s="802">
        <v>910</v>
      </c>
      <c r="N44" s="802"/>
      <c r="O44" s="802"/>
      <c r="P44" s="783">
        <v>910</v>
      </c>
      <c r="Q44" s="784"/>
      <c r="R44" s="782"/>
      <c r="S44" s="783">
        <v>319</v>
      </c>
      <c r="T44" s="784"/>
      <c r="U44" s="784"/>
      <c r="V44" s="784"/>
      <c r="W44" s="785"/>
      <c r="X44" s="783"/>
      <c r="Y44" s="782"/>
      <c r="Z44" s="786"/>
      <c r="AA44" s="787"/>
      <c r="AB44" s="785"/>
      <c r="AC44" s="786">
        <v>822</v>
      </c>
    </row>
    <row r="45" spans="1:29" s="796" customFormat="1" ht="15.75">
      <c r="A45" s="760"/>
      <c r="B45" s="760"/>
      <c r="C45" s="1619"/>
      <c r="D45" s="1620"/>
      <c r="E45" s="1571"/>
      <c r="F45" s="1574"/>
      <c r="G45" s="1571"/>
      <c r="H45" s="1574"/>
      <c r="I45" s="1577"/>
      <c r="J45" s="1555"/>
      <c r="K45" s="1557"/>
      <c r="L45" s="802"/>
      <c r="M45" s="802"/>
      <c r="N45" s="802"/>
      <c r="O45" s="802"/>
      <c r="P45" s="783"/>
      <c r="Q45" s="784"/>
      <c r="R45" s="782"/>
      <c r="S45" s="783"/>
      <c r="T45" s="784"/>
      <c r="U45" s="784"/>
      <c r="V45" s="784">
        <v>166</v>
      </c>
      <c r="W45" s="785"/>
      <c r="X45" s="783"/>
      <c r="Y45" s="782">
        <v>441</v>
      </c>
      <c r="Z45" s="786"/>
      <c r="AA45" s="787"/>
      <c r="AB45" s="785">
        <v>489</v>
      </c>
      <c r="AC45" s="786">
        <v>355</v>
      </c>
    </row>
    <row r="46" spans="1:29" s="796" customFormat="1" ht="15.75">
      <c r="A46" s="760"/>
      <c r="B46" s="760"/>
      <c r="C46" s="1619"/>
      <c r="D46" s="1620"/>
      <c r="E46" s="1571"/>
      <c r="F46" s="1574"/>
      <c r="G46" s="1571"/>
      <c r="H46" s="1574"/>
      <c r="I46" s="1577"/>
      <c r="J46" s="1555"/>
      <c r="K46" s="1557"/>
      <c r="L46" s="802"/>
      <c r="M46" s="802"/>
      <c r="N46" s="802"/>
      <c r="O46" s="802"/>
      <c r="P46" s="783"/>
      <c r="Q46" s="784"/>
      <c r="R46" s="782"/>
      <c r="S46" s="783"/>
      <c r="T46" s="784"/>
      <c r="U46" s="784"/>
      <c r="V46" s="784"/>
      <c r="W46" s="785"/>
      <c r="X46" s="783"/>
      <c r="Y46" s="782"/>
      <c r="Z46" s="786"/>
      <c r="AA46" s="787"/>
      <c r="AB46" s="785"/>
      <c r="AC46" s="786"/>
    </row>
    <row r="47" spans="1:29" s="796" customFormat="1" ht="16.5" thickBot="1">
      <c r="A47" s="760"/>
      <c r="B47" s="760"/>
      <c r="C47" s="1621"/>
      <c r="D47" s="1622"/>
      <c r="E47" s="1572"/>
      <c r="F47" s="1575"/>
      <c r="G47" s="1572"/>
      <c r="H47" s="1575"/>
      <c r="I47" s="1578"/>
      <c r="J47" s="1590"/>
      <c r="K47" s="1558"/>
      <c r="L47" s="788"/>
      <c r="M47" s="788"/>
      <c r="N47" s="788"/>
      <c r="O47" s="788">
        <v>599</v>
      </c>
      <c r="P47" s="789"/>
      <c r="Q47" s="790"/>
      <c r="R47" s="791"/>
      <c r="S47" s="789"/>
      <c r="T47" s="790"/>
      <c r="U47" s="790"/>
      <c r="V47" s="790"/>
      <c r="W47" s="792"/>
      <c r="X47" s="789">
        <v>599</v>
      </c>
      <c r="Y47" s="791"/>
      <c r="Z47" s="793"/>
      <c r="AA47" s="794"/>
      <c r="AB47" s="792"/>
      <c r="AC47" s="793"/>
    </row>
    <row r="48" spans="3:29" s="760" customFormat="1" ht="15.75">
      <c r="C48" s="1626" t="s">
        <v>239</v>
      </c>
      <c r="D48" s="1627"/>
      <c r="E48" s="1628">
        <v>114</v>
      </c>
      <c r="F48" s="1629">
        <f>E48/$E$77</f>
        <v>0.13523131672597866</v>
      </c>
      <c r="G48" s="1570">
        <v>27</v>
      </c>
      <c r="H48" s="1573">
        <f>G48/E48</f>
        <v>0.23684210526315788</v>
      </c>
      <c r="I48" s="1576">
        <f>$L$5*COUNTA(L48:L58)+$M$5*COUNTA(M48:M58)+$O$5*COUNTA(O48:O58)+$P$5*COUNTA(P48:P58)+$Q$5*COUNTA(Q48:Q58)+$R$5*COUNTA(R48:R58)+$S$5*COUNTA(S48:S58)+$T$5*COUNTA(T48:T58)+$U$5*COUNTA(U48:U58)+$V$5*COUNTA(V48:V58)+$W$5*COUNTA(W48:W58)+$X$5*COUNTA(X48:X58)+$Y$5*COUNTA(Y48:Y58)+$Z$5*COUNTA(Z48:Z58)+$AA$5*COUNTA(AA48:AA58)+$AB$5*COUNTA(AB48:AB58)+$AC$5*COUNTA(AC48:AC58)+$N$5*COUNTA(N48:N58)</f>
        <v>6466.84</v>
      </c>
      <c r="J48" s="1554">
        <f>I48/I77</f>
        <v>0.14657505215929864</v>
      </c>
      <c r="K48" s="1556">
        <f>I48/E48</f>
        <v>56.72666666666667</v>
      </c>
      <c r="L48" s="795">
        <v>177</v>
      </c>
      <c r="M48" s="795"/>
      <c r="N48" s="795">
        <v>476</v>
      </c>
      <c r="O48" s="795"/>
      <c r="P48" s="765">
        <v>476</v>
      </c>
      <c r="Q48" s="766">
        <v>283</v>
      </c>
      <c r="R48" s="764"/>
      <c r="S48" s="765"/>
      <c r="T48" s="766"/>
      <c r="U48" s="766"/>
      <c r="V48" s="766"/>
      <c r="W48" s="767"/>
      <c r="X48" s="765"/>
      <c r="Y48" s="764"/>
      <c r="Z48" s="768"/>
      <c r="AA48" s="769"/>
      <c r="AB48" s="767"/>
      <c r="AC48" s="768"/>
    </row>
    <row r="49" spans="3:29" s="760" customFormat="1" ht="15.75">
      <c r="C49" s="1582"/>
      <c r="D49" s="1583"/>
      <c r="E49" s="1586"/>
      <c r="F49" s="1588"/>
      <c r="G49" s="1571"/>
      <c r="H49" s="1574"/>
      <c r="I49" s="1577"/>
      <c r="J49" s="1555"/>
      <c r="K49" s="1557"/>
      <c r="L49" s="801"/>
      <c r="M49" s="801"/>
      <c r="N49" s="801">
        <v>1528</v>
      </c>
      <c r="O49" s="801">
        <v>1528</v>
      </c>
      <c r="P49" s="774"/>
      <c r="Q49" s="775">
        <v>263</v>
      </c>
      <c r="R49" s="773"/>
      <c r="S49" s="774"/>
      <c r="T49" s="775"/>
      <c r="U49" s="775"/>
      <c r="V49" s="775"/>
      <c r="W49" s="776"/>
      <c r="X49" s="774"/>
      <c r="Y49" s="773">
        <v>907</v>
      </c>
      <c r="Z49" s="777"/>
      <c r="AA49" s="778">
        <v>382</v>
      </c>
      <c r="AB49" s="776"/>
      <c r="AC49" s="777">
        <v>681</v>
      </c>
    </row>
    <row r="50" spans="3:29" s="760" customFormat="1" ht="15.75">
      <c r="C50" s="1582"/>
      <c r="D50" s="1583"/>
      <c r="E50" s="1586"/>
      <c r="F50" s="1588"/>
      <c r="G50" s="1571"/>
      <c r="H50" s="1574"/>
      <c r="I50" s="1577"/>
      <c r="J50" s="1555"/>
      <c r="K50" s="1557"/>
      <c r="L50" s="802"/>
      <c r="M50" s="802">
        <v>2</v>
      </c>
      <c r="N50" s="802"/>
      <c r="O50" s="802"/>
      <c r="P50" s="783">
        <v>2</v>
      </c>
      <c r="Q50" s="784">
        <v>1570</v>
      </c>
      <c r="R50" s="782"/>
      <c r="S50" s="783"/>
      <c r="T50" s="784"/>
      <c r="U50" s="784"/>
      <c r="V50" s="784"/>
      <c r="W50" s="785"/>
      <c r="X50" s="783">
        <v>694</v>
      </c>
      <c r="Y50" s="782"/>
      <c r="Z50" s="786"/>
      <c r="AA50" s="787">
        <v>155</v>
      </c>
      <c r="AB50" s="785"/>
      <c r="AC50" s="786"/>
    </row>
    <row r="51" spans="3:29" s="760" customFormat="1" ht="15.75">
      <c r="C51" s="1582"/>
      <c r="D51" s="1583"/>
      <c r="E51" s="1586"/>
      <c r="F51" s="1588"/>
      <c r="G51" s="1571"/>
      <c r="H51" s="1574"/>
      <c r="I51" s="1577"/>
      <c r="J51" s="1555"/>
      <c r="K51" s="1557"/>
      <c r="L51" s="802"/>
      <c r="M51" s="802"/>
      <c r="N51" s="802">
        <v>128</v>
      </c>
      <c r="O51" s="802">
        <v>128</v>
      </c>
      <c r="P51" s="783"/>
      <c r="Q51" s="784">
        <v>47</v>
      </c>
      <c r="R51" s="782">
        <v>257</v>
      </c>
      <c r="S51" s="783"/>
      <c r="T51" s="784"/>
      <c r="U51" s="784"/>
      <c r="V51" s="784"/>
      <c r="W51" s="785"/>
      <c r="X51" s="783">
        <v>128</v>
      </c>
      <c r="Y51" s="782"/>
      <c r="Z51" s="786"/>
      <c r="AA51" s="787"/>
      <c r="AB51" s="785"/>
      <c r="AC51" s="786"/>
    </row>
    <row r="52" spans="3:29" s="760" customFormat="1" ht="15.75">
      <c r="C52" s="1582"/>
      <c r="D52" s="1583"/>
      <c r="E52" s="1586"/>
      <c r="F52" s="1588"/>
      <c r="G52" s="1571"/>
      <c r="H52" s="1574"/>
      <c r="I52" s="1577"/>
      <c r="J52" s="1555"/>
      <c r="K52" s="1557"/>
      <c r="L52" s="802"/>
      <c r="M52" s="802"/>
      <c r="N52" s="802">
        <v>260</v>
      </c>
      <c r="O52" s="802"/>
      <c r="P52" s="783">
        <v>260</v>
      </c>
      <c r="Q52" s="784">
        <v>1620</v>
      </c>
      <c r="R52" s="782"/>
      <c r="S52" s="783"/>
      <c r="T52" s="784"/>
      <c r="U52" s="784"/>
      <c r="V52" s="784">
        <v>261</v>
      </c>
      <c r="W52" s="785"/>
      <c r="X52" s="783"/>
      <c r="Y52" s="782"/>
      <c r="Z52" s="786"/>
      <c r="AA52" s="787"/>
      <c r="AB52" s="785"/>
      <c r="AC52" s="786"/>
    </row>
    <row r="53" spans="3:29" s="760" customFormat="1" ht="15.75">
      <c r="C53" s="1582"/>
      <c r="D53" s="1583"/>
      <c r="E53" s="1586"/>
      <c r="F53" s="1588"/>
      <c r="G53" s="1571"/>
      <c r="H53" s="1574"/>
      <c r="I53" s="1577"/>
      <c r="J53" s="1555"/>
      <c r="K53" s="1557"/>
      <c r="L53" s="802"/>
      <c r="M53" s="802"/>
      <c r="N53" s="802">
        <v>583</v>
      </c>
      <c r="O53" s="802"/>
      <c r="P53" s="783">
        <v>583</v>
      </c>
      <c r="Q53" s="784"/>
      <c r="R53" s="782"/>
      <c r="S53" s="783"/>
      <c r="T53" s="784"/>
      <c r="U53" s="784"/>
      <c r="V53" s="784"/>
      <c r="W53" s="785"/>
      <c r="X53" s="783"/>
      <c r="Y53" s="782"/>
      <c r="Z53" s="786"/>
      <c r="AA53" s="787"/>
      <c r="AB53" s="785"/>
      <c r="AC53" s="786"/>
    </row>
    <row r="54" spans="3:29" s="760" customFormat="1" ht="15.75">
      <c r="C54" s="1582"/>
      <c r="D54" s="1583"/>
      <c r="E54" s="1586"/>
      <c r="F54" s="1588"/>
      <c r="G54" s="1571"/>
      <c r="H54" s="1574"/>
      <c r="I54" s="1577"/>
      <c r="J54" s="1555"/>
      <c r="K54" s="1557"/>
      <c r="L54" s="802"/>
      <c r="M54" s="802"/>
      <c r="N54" s="802">
        <v>758</v>
      </c>
      <c r="O54" s="802"/>
      <c r="P54" s="783">
        <v>758</v>
      </c>
      <c r="Q54" s="784"/>
      <c r="R54" s="782"/>
      <c r="S54" s="783"/>
      <c r="T54" s="784"/>
      <c r="U54" s="784"/>
      <c r="V54" s="784"/>
      <c r="W54" s="785"/>
      <c r="X54" s="783"/>
      <c r="Y54" s="782"/>
      <c r="Z54" s="786"/>
      <c r="AA54" s="787"/>
      <c r="AB54" s="785"/>
      <c r="AC54" s="786"/>
    </row>
    <row r="55" spans="3:29" s="760" customFormat="1" ht="15.75">
      <c r="C55" s="1582"/>
      <c r="D55" s="1583"/>
      <c r="E55" s="1586"/>
      <c r="F55" s="1588"/>
      <c r="G55" s="1571"/>
      <c r="H55" s="1574"/>
      <c r="I55" s="1577"/>
      <c r="J55" s="1555"/>
      <c r="K55" s="1557"/>
      <c r="L55" s="802"/>
      <c r="M55" s="802"/>
      <c r="N55" s="802">
        <v>602</v>
      </c>
      <c r="O55" s="802">
        <v>602</v>
      </c>
      <c r="P55" s="783"/>
      <c r="Q55" s="784"/>
      <c r="R55" s="782"/>
      <c r="S55" s="783"/>
      <c r="T55" s="784"/>
      <c r="U55" s="784"/>
      <c r="V55" s="784"/>
      <c r="W55" s="785"/>
      <c r="X55" s="783"/>
      <c r="Y55" s="782"/>
      <c r="Z55" s="786"/>
      <c r="AA55" s="787"/>
      <c r="AB55" s="785"/>
      <c r="AC55" s="786"/>
    </row>
    <row r="56" spans="3:29" s="760" customFormat="1" ht="15.75">
      <c r="C56" s="1582"/>
      <c r="D56" s="1583"/>
      <c r="E56" s="1586"/>
      <c r="F56" s="1588"/>
      <c r="G56" s="1571"/>
      <c r="H56" s="1574"/>
      <c r="I56" s="1577"/>
      <c r="J56" s="1555"/>
      <c r="K56" s="1557"/>
      <c r="L56" s="802"/>
      <c r="M56" s="802"/>
      <c r="N56" s="802">
        <v>1597</v>
      </c>
      <c r="O56" s="802">
        <v>1597</v>
      </c>
      <c r="P56" s="783"/>
      <c r="Q56" s="784">
        <v>73</v>
      </c>
      <c r="R56" s="782"/>
      <c r="S56" s="783"/>
      <c r="T56" s="784"/>
      <c r="U56" s="784"/>
      <c r="V56" s="784"/>
      <c r="W56" s="785"/>
      <c r="X56" s="783"/>
      <c r="Y56" s="782"/>
      <c r="Z56" s="786"/>
      <c r="AA56" s="787"/>
      <c r="AB56" s="785"/>
      <c r="AC56" s="786"/>
    </row>
    <row r="57" spans="3:29" s="760" customFormat="1" ht="15.75">
      <c r="C57" s="1582"/>
      <c r="D57" s="1583"/>
      <c r="E57" s="1586"/>
      <c r="F57" s="1588"/>
      <c r="G57" s="1571"/>
      <c r="H57" s="1574"/>
      <c r="I57" s="1577"/>
      <c r="J57" s="1555"/>
      <c r="K57" s="1557"/>
      <c r="L57" s="802"/>
      <c r="M57" s="802"/>
      <c r="N57" s="802">
        <v>819</v>
      </c>
      <c r="O57" s="802"/>
      <c r="P57" s="783"/>
      <c r="Q57" s="784">
        <v>285</v>
      </c>
      <c r="R57" s="782"/>
      <c r="S57" s="783"/>
      <c r="T57" s="784"/>
      <c r="U57" s="784"/>
      <c r="V57" s="784"/>
      <c r="W57" s="785"/>
      <c r="X57" s="783"/>
      <c r="Y57" s="782"/>
      <c r="Z57" s="786"/>
      <c r="AA57" s="787"/>
      <c r="AB57" s="785"/>
      <c r="AC57" s="786"/>
    </row>
    <row r="58" spans="3:29" s="760" customFormat="1" ht="16.5" thickBot="1">
      <c r="C58" s="1584"/>
      <c r="D58" s="1585"/>
      <c r="E58" s="1587"/>
      <c r="F58" s="1589"/>
      <c r="G58" s="1572"/>
      <c r="H58" s="1575"/>
      <c r="I58" s="1578"/>
      <c r="J58" s="1590"/>
      <c r="K58" s="1558"/>
      <c r="L58" s="788"/>
      <c r="M58" s="788"/>
      <c r="N58" s="788">
        <v>20</v>
      </c>
      <c r="O58" s="788"/>
      <c r="P58" s="789">
        <v>20</v>
      </c>
      <c r="Q58" s="790">
        <v>851</v>
      </c>
      <c r="R58" s="791"/>
      <c r="S58" s="789"/>
      <c r="T58" s="790"/>
      <c r="U58" s="790"/>
      <c r="V58" s="790"/>
      <c r="W58" s="792"/>
      <c r="X58" s="789">
        <v>20</v>
      </c>
      <c r="Y58" s="791"/>
      <c r="Z58" s="793"/>
      <c r="AA58" s="794"/>
      <c r="AB58" s="792"/>
      <c r="AC58" s="793"/>
    </row>
    <row r="59" spans="3:29" s="760" customFormat="1" ht="15.75">
      <c r="C59" s="1617" t="s">
        <v>240</v>
      </c>
      <c r="D59" s="1618"/>
      <c r="E59" s="1570">
        <v>42</v>
      </c>
      <c r="F59" s="1573">
        <f>E59/$E$77</f>
        <v>0.0498220640569395</v>
      </c>
      <c r="G59" s="1570">
        <f>COUNTA(L59:AC62)-3</f>
        <v>8</v>
      </c>
      <c r="H59" s="1573">
        <f>G59/E59</f>
        <v>0.19047619047619047</v>
      </c>
      <c r="I59" s="1576">
        <f>$L$5*COUNTA(L59:L62)+$M$5*COUNTA(M59:M62)+$O$5*COUNTA(O59:O62)+$P$5*COUNTA(P59:P62)+$Q$5*COUNTA(Q59:Q62)+$R$5*COUNTA(R59:R62)+$S$5*COUNTA(S59:S62)+$T$5*COUNTA(T59:T62)+$U$5*COUNTA(U59:U62)+$V$5*COUNTA(V59:V62)+$W$5*COUNTA(W59:W62)+$X$5*COUNTA(X59:X62)+$Y$5*COUNTA(Y59:Y62)+$Z$5*COUNTA(Z59:Z62)+$AA$5*COUNTA(AA59:AA62)+$AB$5*COUNTA(AB59:AB62)+$AC$5*COUNTA(AC59:AC62)+$N$5*COUNTA(N59:N62)</f>
        <v>2153.51</v>
      </c>
      <c r="J59" s="1554">
        <f>I59/I77</f>
        <v>0.048810677328582616</v>
      </c>
      <c r="K59" s="1623">
        <f>I59/E59</f>
        <v>51.27404761904762</v>
      </c>
      <c r="L59" s="795"/>
      <c r="M59" s="795"/>
      <c r="N59" s="795">
        <v>7</v>
      </c>
      <c r="O59" s="795">
        <v>7</v>
      </c>
      <c r="P59" s="765"/>
      <c r="Q59" s="766"/>
      <c r="R59" s="764"/>
      <c r="S59" s="765"/>
      <c r="T59" s="766"/>
      <c r="U59" s="766"/>
      <c r="V59" s="766"/>
      <c r="W59" s="767"/>
      <c r="X59" s="765"/>
      <c r="Y59" s="764"/>
      <c r="Z59" s="768"/>
      <c r="AA59" s="769"/>
      <c r="AB59" s="767"/>
      <c r="AC59" s="768">
        <v>588</v>
      </c>
    </row>
    <row r="60" spans="3:29" s="760" customFormat="1" ht="15.75">
      <c r="C60" s="1619"/>
      <c r="D60" s="1620"/>
      <c r="E60" s="1571"/>
      <c r="F60" s="1574"/>
      <c r="G60" s="1571"/>
      <c r="H60" s="1574"/>
      <c r="I60" s="1577"/>
      <c r="J60" s="1555"/>
      <c r="K60" s="1624"/>
      <c r="L60" s="801"/>
      <c r="M60" s="801"/>
      <c r="N60" s="801"/>
      <c r="O60" s="801"/>
      <c r="P60" s="774"/>
      <c r="Q60" s="775">
        <v>25</v>
      </c>
      <c r="R60" s="773"/>
      <c r="S60" s="774"/>
      <c r="T60" s="775"/>
      <c r="U60" s="775"/>
      <c r="V60" s="775"/>
      <c r="W60" s="776"/>
      <c r="X60" s="774">
        <v>484</v>
      </c>
      <c r="Y60" s="773"/>
      <c r="Z60" s="777"/>
      <c r="AA60" s="778"/>
      <c r="AB60" s="776"/>
      <c r="AC60" s="777"/>
    </row>
    <row r="61" spans="3:29" s="760" customFormat="1" ht="15.75">
      <c r="C61" s="1619"/>
      <c r="D61" s="1620"/>
      <c r="E61" s="1571"/>
      <c r="F61" s="1574"/>
      <c r="G61" s="1571"/>
      <c r="H61" s="1574"/>
      <c r="I61" s="1577"/>
      <c r="J61" s="1555"/>
      <c r="K61" s="1624"/>
      <c r="L61" s="802"/>
      <c r="M61" s="802"/>
      <c r="N61" s="802">
        <v>173</v>
      </c>
      <c r="O61" s="802">
        <v>173</v>
      </c>
      <c r="P61" s="783"/>
      <c r="Q61" s="784">
        <v>233</v>
      </c>
      <c r="R61" s="782"/>
      <c r="S61" s="783"/>
      <c r="T61" s="784"/>
      <c r="U61" s="784"/>
      <c r="V61" s="784">
        <v>1561</v>
      </c>
      <c r="W61" s="785"/>
      <c r="X61" s="783">
        <v>1630</v>
      </c>
      <c r="Y61" s="782"/>
      <c r="Z61" s="786"/>
      <c r="AA61" s="787"/>
      <c r="AB61" s="785"/>
      <c r="AC61" s="786"/>
    </row>
    <row r="62" spans="3:29" s="760" customFormat="1" ht="16.5" thickBot="1">
      <c r="C62" s="1621"/>
      <c r="D62" s="1622"/>
      <c r="E62" s="1572"/>
      <c r="F62" s="1575"/>
      <c r="G62" s="1572"/>
      <c r="H62" s="1575"/>
      <c r="I62" s="1578"/>
      <c r="J62" s="1590"/>
      <c r="K62" s="1625"/>
      <c r="L62" s="803"/>
      <c r="M62" s="803"/>
      <c r="N62" s="803"/>
      <c r="O62" s="803"/>
      <c r="P62" s="789"/>
      <c r="Q62" s="790">
        <v>732</v>
      </c>
      <c r="R62" s="791"/>
      <c r="S62" s="789"/>
      <c r="T62" s="790"/>
      <c r="U62" s="790"/>
      <c r="V62" s="790"/>
      <c r="W62" s="792"/>
      <c r="X62" s="789"/>
      <c r="Y62" s="791"/>
      <c r="Z62" s="793"/>
      <c r="AA62" s="794"/>
      <c r="AB62" s="792"/>
      <c r="AC62" s="793"/>
    </row>
    <row r="63" spans="3:29" s="760" customFormat="1" ht="15.75">
      <c r="C63" s="1591" t="s">
        <v>241</v>
      </c>
      <c r="D63" s="1592"/>
      <c r="E63" s="1601">
        <v>89</v>
      </c>
      <c r="F63" s="1606">
        <f>E63/$E$77</f>
        <v>0.1055753262158956</v>
      </c>
      <c r="G63" s="1611">
        <f>COUNTA(L63:AC67)-2</f>
        <v>15</v>
      </c>
      <c r="H63" s="1614">
        <f>G63/E63</f>
        <v>0.16853932584269662</v>
      </c>
      <c r="I63" s="1576">
        <f>$L$5*COUNTA(L63:L67)+$M$5*COUNTA(M63:M67)+$O$5*COUNTA(O63:O67)+$P$5*COUNTA(P63:P67)+$Q$5*COUNTA(Q63:Q67)+$R$5*COUNTA(R63:R67)+$S$5*COUNTA(S63:S67)+$T$5*COUNTA(T63:T67)+$U$5*COUNTA(U63:U67)+$V$5*COUNTA(V63:V67)+$W$5*COUNTA(W63:W67)+$X$5*COUNTA(X63:X67)+$Y$5*COUNTA(Y63:Y67)+$Z$5*COUNTA(Z63:Z67)+$AA$5*COUNTA(AA63:AA67)+$AB$5*COUNTA(AB63:AB67)+$AC$5*COUNTA(AC63:AC67)+$N$5*COUNTA(N63:N67)</f>
        <v>3878.24</v>
      </c>
      <c r="J63" s="1579">
        <f>I63/I77</f>
        <v>0.08790278254700569</v>
      </c>
      <c r="K63" s="1556">
        <f>I63/E63</f>
        <v>43.575730337078646</v>
      </c>
      <c r="L63" s="795"/>
      <c r="M63" s="795"/>
      <c r="N63" s="795"/>
      <c r="O63" s="795"/>
      <c r="P63" s="765"/>
      <c r="Q63" s="766">
        <v>465</v>
      </c>
      <c r="R63" s="764"/>
      <c r="S63" s="765"/>
      <c r="T63" s="766"/>
      <c r="U63" s="766"/>
      <c r="V63" s="766"/>
      <c r="W63" s="767"/>
      <c r="X63" s="765"/>
      <c r="Y63" s="764"/>
      <c r="Z63" s="768"/>
      <c r="AA63" s="769"/>
      <c r="AB63" s="767"/>
      <c r="AC63" s="768"/>
    </row>
    <row r="64" spans="3:29" s="760" customFormat="1" ht="15.75">
      <c r="C64" s="1593"/>
      <c r="D64" s="1594"/>
      <c r="E64" s="1602"/>
      <c r="F64" s="1607"/>
      <c r="G64" s="1612"/>
      <c r="H64" s="1615"/>
      <c r="I64" s="1577"/>
      <c r="J64" s="1580"/>
      <c r="K64" s="1557"/>
      <c r="L64" s="801"/>
      <c r="M64" s="801"/>
      <c r="N64" s="801">
        <v>993</v>
      </c>
      <c r="O64" s="801">
        <v>993</v>
      </c>
      <c r="P64" s="774"/>
      <c r="Q64" s="775">
        <v>195</v>
      </c>
      <c r="R64" s="773"/>
      <c r="S64" s="774"/>
      <c r="T64" s="775"/>
      <c r="U64" s="775"/>
      <c r="V64" s="775"/>
      <c r="W64" s="776"/>
      <c r="X64" s="774"/>
      <c r="Y64" s="773">
        <v>574</v>
      </c>
      <c r="Z64" s="777"/>
      <c r="AA64" s="778"/>
      <c r="AB64" s="776"/>
      <c r="AC64" s="777"/>
    </row>
    <row r="65" spans="3:29" s="760" customFormat="1" ht="15.75">
      <c r="C65" s="1595"/>
      <c r="D65" s="1596"/>
      <c r="E65" s="1603"/>
      <c r="F65" s="1608"/>
      <c r="G65" s="1612"/>
      <c r="H65" s="1615"/>
      <c r="I65" s="1577"/>
      <c r="J65" s="1580"/>
      <c r="K65" s="1557"/>
      <c r="L65" s="801"/>
      <c r="M65" s="801"/>
      <c r="N65" s="801">
        <v>1641</v>
      </c>
      <c r="O65" s="801"/>
      <c r="P65" s="774">
        <v>1641</v>
      </c>
      <c r="Q65" s="775">
        <v>760</v>
      </c>
      <c r="R65" s="773"/>
      <c r="S65" s="774"/>
      <c r="T65" s="775">
        <v>321</v>
      </c>
      <c r="U65" s="775"/>
      <c r="V65" s="775"/>
      <c r="W65" s="776">
        <v>479</v>
      </c>
      <c r="X65" s="774"/>
      <c r="Y65" s="773">
        <v>592</v>
      </c>
      <c r="Z65" s="777"/>
      <c r="AA65" s="778">
        <v>235</v>
      </c>
      <c r="AB65" s="776"/>
      <c r="AC65" s="777">
        <v>124</v>
      </c>
    </row>
    <row r="66" spans="3:29" s="760" customFormat="1" ht="15.75">
      <c r="C66" s="1597"/>
      <c r="D66" s="1598"/>
      <c r="E66" s="1604"/>
      <c r="F66" s="1609"/>
      <c r="G66" s="1612"/>
      <c r="H66" s="1615"/>
      <c r="I66" s="1577"/>
      <c r="J66" s="1580"/>
      <c r="K66" s="1557"/>
      <c r="L66" s="802"/>
      <c r="M66" s="802"/>
      <c r="N66" s="802">
        <v>798</v>
      </c>
      <c r="O66" s="802"/>
      <c r="P66" s="783"/>
      <c r="Q66" s="784">
        <v>621</v>
      </c>
      <c r="R66" s="782"/>
      <c r="S66" s="783"/>
      <c r="T66" s="784"/>
      <c r="U66" s="784"/>
      <c r="V66" s="784"/>
      <c r="W66" s="785"/>
      <c r="X66" s="783"/>
      <c r="Y66" s="782"/>
      <c r="Z66" s="786"/>
      <c r="AA66" s="787"/>
      <c r="AB66" s="785"/>
      <c r="AC66" s="786">
        <v>565</v>
      </c>
    </row>
    <row r="67" spans="3:29" s="760" customFormat="1" ht="16.5" thickBot="1">
      <c r="C67" s="1599"/>
      <c r="D67" s="1600"/>
      <c r="E67" s="1605"/>
      <c r="F67" s="1610"/>
      <c r="G67" s="1613"/>
      <c r="H67" s="1616"/>
      <c r="I67" s="1578"/>
      <c r="J67" s="1581"/>
      <c r="K67" s="1558"/>
      <c r="L67" s="788"/>
      <c r="M67" s="788"/>
      <c r="N67" s="788">
        <v>325</v>
      </c>
      <c r="O67" s="788"/>
      <c r="P67" s="789"/>
      <c r="Q67" s="790"/>
      <c r="R67" s="791"/>
      <c r="S67" s="789"/>
      <c r="T67" s="790"/>
      <c r="U67" s="790"/>
      <c r="V67" s="790"/>
      <c r="W67" s="792"/>
      <c r="X67" s="789"/>
      <c r="Y67" s="791"/>
      <c r="Z67" s="793"/>
      <c r="AA67" s="794"/>
      <c r="AB67" s="792"/>
      <c r="AC67" s="793"/>
    </row>
    <row r="68" spans="3:29" s="760" customFormat="1" ht="15.75">
      <c r="C68" s="1582" t="s">
        <v>243</v>
      </c>
      <c r="D68" s="1583"/>
      <c r="E68" s="1586">
        <v>50</v>
      </c>
      <c r="F68" s="1588">
        <f>E68/$E$77</f>
        <v>0.05931198102016608</v>
      </c>
      <c r="G68" s="1570">
        <f>COUNTA(L68:AC71)-1</f>
        <v>9</v>
      </c>
      <c r="H68" s="1573">
        <f>G68/E68</f>
        <v>0.18</v>
      </c>
      <c r="I68" s="1576">
        <f>$L$5*COUNTA(L68:L71)+$M$5*COUNTA(M68:M71)+$O$5*COUNTA(O68:O71)+$P$5*COUNTA(P68:P71)+$Q$5*COUNTA(Q68:Q71)+$R$5*COUNTA(R68:R71)+$S$5*COUNTA(S68:S71)+$T$5*COUNTA(T68:T71)+$U$5*COUNTA(U68:U71)+$V$5*COUNTA(V68:V71)+$W$5*COUNTA(W68:W71)+$X$5*COUNTA(X68:X71)+$Y$5*COUNTA(Y68:Y71)+$Z$5*COUNTA(Z68:Z71)+$AA$5*COUNTA(AA68:AA71)+$AB$5*COUNTA(AB68:AB71)+$AC$5*COUNTA(AC68:AC71)+$N$5*COUNTA(N68:N71)</f>
        <v>2418.5800000000004</v>
      </c>
      <c r="J68" s="1554">
        <f>I68/I77</f>
        <v>0.054818657899598035</v>
      </c>
      <c r="K68" s="1556">
        <f>I68/E68</f>
        <v>48.37160000000001</v>
      </c>
      <c r="L68" s="795"/>
      <c r="M68" s="795"/>
      <c r="N68" s="795">
        <v>657</v>
      </c>
      <c r="O68" s="795"/>
      <c r="P68" s="765">
        <v>657</v>
      </c>
      <c r="Q68" s="766"/>
      <c r="R68" s="764"/>
      <c r="S68" s="765"/>
      <c r="T68" s="766">
        <v>557</v>
      </c>
      <c r="U68" s="766"/>
      <c r="V68" s="766"/>
      <c r="W68" s="767"/>
      <c r="X68" s="765"/>
      <c r="Y68" s="764"/>
      <c r="Z68" s="768"/>
      <c r="AA68" s="769"/>
      <c r="AB68" s="767"/>
      <c r="AC68" s="768"/>
    </row>
    <row r="69" spans="3:29" s="760" customFormat="1" ht="15.75">
      <c r="C69" s="1582"/>
      <c r="D69" s="1583"/>
      <c r="E69" s="1586"/>
      <c r="F69" s="1588"/>
      <c r="G69" s="1571"/>
      <c r="H69" s="1574"/>
      <c r="I69" s="1577"/>
      <c r="J69" s="1555"/>
      <c r="K69" s="1557"/>
      <c r="L69" s="801"/>
      <c r="M69" s="801"/>
      <c r="N69" s="801"/>
      <c r="O69" s="801"/>
      <c r="P69" s="774"/>
      <c r="Q69" s="775">
        <v>169</v>
      </c>
      <c r="R69" s="773"/>
      <c r="S69" s="774"/>
      <c r="T69" s="775"/>
      <c r="U69" s="775"/>
      <c r="V69" s="775">
        <v>566</v>
      </c>
      <c r="W69" s="776"/>
      <c r="X69" s="774">
        <v>1618</v>
      </c>
      <c r="Y69" s="773">
        <v>892</v>
      </c>
      <c r="Z69" s="777"/>
      <c r="AA69" s="778"/>
      <c r="AB69" s="776"/>
      <c r="AC69" s="777"/>
    </row>
    <row r="70" spans="3:29" s="760" customFormat="1" ht="15.75">
      <c r="C70" s="1582"/>
      <c r="D70" s="1583"/>
      <c r="E70" s="1586"/>
      <c r="F70" s="1588"/>
      <c r="G70" s="1571"/>
      <c r="H70" s="1574"/>
      <c r="I70" s="1577"/>
      <c r="J70" s="1555"/>
      <c r="K70" s="1557"/>
      <c r="L70" s="802"/>
      <c r="M70" s="802"/>
      <c r="N70" s="802">
        <v>964</v>
      </c>
      <c r="O70" s="802"/>
      <c r="P70" s="783"/>
      <c r="Q70" s="784">
        <v>929</v>
      </c>
      <c r="R70" s="782"/>
      <c r="S70" s="783"/>
      <c r="T70" s="784"/>
      <c r="U70" s="784"/>
      <c r="V70" s="784"/>
      <c r="W70" s="785"/>
      <c r="X70" s="783"/>
      <c r="Y70" s="782"/>
      <c r="Z70" s="786"/>
      <c r="AA70" s="787"/>
      <c r="AB70" s="785"/>
      <c r="AC70" s="786"/>
    </row>
    <row r="71" spans="1:29" s="796" customFormat="1" ht="16.5" thickBot="1">
      <c r="A71" s="760"/>
      <c r="B71" s="760"/>
      <c r="C71" s="1584"/>
      <c r="D71" s="1585"/>
      <c r="E71" s="1587"/>
      <c r="F71" s="1589"/>
      <c r="G71" s="1572"/>
      <c r="H71" s="1575"/>
      <c r="I71" s="1578"/>
      <c r="J71" s="1590"/>
      <c r="K71" s="1558"/>
      <c r="L71" s="788"/>
      <c r="M71" s="788"/>
      <c r="N71" s="788"/>
      <c r="O71" s="788"/>
      <c r="P71" s="789"/>
      <c r="Q71" s="790">
        <v>1569</v>
      </c>
      <c r="R71" s="791"/>
      <c r="S71" s="789"/>
      <c r="T71" s="790"/>
      <c r="U71" s="790"/>
      <c r="V71" s="790"/>
      <c r="W71" s="792"/>
      <c r="X71" s="789"/>
      <c r="Y71" s="791"/>
      <c r="Z71" s="793"/>
      <c r="AA71" s="794"/>
      <c r="AB71" s="792"/>
      <c r="AC71" s="793"/>
    </row>
    <row r="72" spans="3:29" s="760" customFormat="1" ht="16.5" thickBot="1">
      <c r="C72" s="1566" t="s">
        <v>269</v>
      </c>
      <c r="D72" s="1567"/>
      <c r="E72" s="1568">
        <v>42</v>
      </c>
      <c r="F72" s="1569">
        <f>E72/$E$77</f>
        <v>0.0498220640569395</v>
      </c>
      <c r="G72" s="1570">
        <f>COUNTA(L72:AC75)-1</f>
        <v>9</v>
      </c>
      <c r="H72" s="1573">
        <f>G72/E72</f>
        <v>0.21428571428571427</v>
      </c>
      <c r="I72" s="1576">
        <f>$L$5*COUNTA(L72:L75)+$M$5*COUNTA(M72:M75)+$O$5*COUNTA(O72:O75)+$P$5*COUNTA(P72:P75)+$Q$5*COUNTA(Q72:Q75)+$R$5*COUNTA(R72:R75)+$S$5*COUNTA(S72:S75)+$T$5*COUNTA(T72:T75)+$U$5*COUNTA(U72:U75)+$V$5*COUNTA(V72:V75)+$W$5*COUNTA(W72:W75)+$X$5*COUNTA(X72:X75)+$Y$5*COUNTA(Y72:Y75)+$Z$5*COUNTA(Z72:Z75)+$AA$5*COUNTA(AA72:AA75)+$AB$5*COUNTA(AB72:AB75)+$AC$5*COUNTA(AC72:AC75)+$N$5*COUNTA(N72:N75)</f>
        <v>2603.1200000000003</v>
      </c>
      <c r="J72" s="1554">
        <f>I72/I77</f>
        <v>0.05900137467092328</v>
      </c>
      <c r="K72" s="1556">
        <f>I72/E72</f>
        <v>61.97904761904763</v>
      </c>
      <c r="L72" s="795"/>
      <c r="M72" s="795"/>
      <c r="N72" s="795">
        <v>390</v>
      </c>
      <c r="O72" s="795"/>
      <c r="P72" s="765"/>
      <c r="Q72" s="766"/>
      <c r="R72" s="764"/>
      <c r="S72" s="765"/>
      <c r="T72" s="766"/>
      <c r="U72" s="766"/>
      <c r="V72" s="766"/>
      <c r="W72" s="767"/>
      <c r="X72" s="765">
        <v>390</v>
      </c>
      <c r="Y72" s="764">
        <v>179</v>
      </c>
      <c r="Z72" s="768"/>
      <c r="AA72" s="769"/>
      <c r="AB72" s="767"/>
      <c r="AC72" s="768"/>
    </row>
    <row r="73" spans="3:29" s="760" customFormat="1" ht="16.5" thickBot="1">
      <c r="C73" s="1566"/>
      <c r="D73" s="1567"/>
      <c r="E73" s="1568"/>
      <c r="F73" s="1569"/>
      <c r="G73" s="1571"/>
      <c r="H73" s="1574"/>
      <c r="I73" s="1577"/>
      <c r="J73" s="1555"/>
      <c r="K73" s="1557"/>
      <c r="L73" s="801"/>
      <c r="M73" s="801"/>
      <c r="N73" s="801"/>
      <c r="O73" s="801"/>
      <c r="P73" s="774"/>
      <c r="Q73" s="775">
        <v>284</v>
      </c>
      <c r="R73" s="773"/>
      <c r="S73" s="774"/>
      <c r="T73" s="775"/>
      <c r="U73" s="775">
        <v>1655</v>
      </c>
      <c r="V73" s="775"/>
      <c r="W73" s="776"/>
      <c r="X73" s="774">
        <v>200</v>
      </c>
      <c r="Y73" s="773"/>
      <c r="Z73" s="777"/>
      <c r="AA73" s="778"/>
      <c r="AB73" s="776"/>
      <c r="AC73" s="777"/>
    </row>
    <row r="74" spans="3:29" s="760" customFormat="1" ht="16.5" thickBot="1">
      <c r="C74" s="1566"/>
      <c r="D74" s="1567"/>
      <c r="E74" s="1568"/>
      <c r="F74" s="1569"/>
      <c r="G74" s="1571"/>
      <c r="H74" s="1574"/>
      <c r="I74" s="1577"/>
      <c r="J74" s="1555"/>
      <c r="K74" s="1557"/>
      <c r="L74" s="802"/>
      <c r="M74" s="802"/>
      <c r="N74" s="802"/>
      <c r="O74" s="802"/>
      <c r="P74" s="783"/>
      <c r="Q74" s="784">
        <v>304</v>
      </c>
      <c r="R74" s="782"/>
      <c r="S74" s="783">
        <v>698</v>
      </c>
      <c r="T74" s="784"/>
      <c r="U74" s="784"/>
      <c r="V74" s="784"/>
      <c r="W74" s="785"/>
      <c r="X74" s="783">
        <v>552</v>
      </c>
      <c r="Y74" s="782"/>
      <c r="Z74" s="786"/>
      <c r="AA74" s="787"/>
      <c r="AB74" s="785"/>
      <c r="AC74" s="786"/>
    </row>
    <row r="75" spans="3:29" s="760" customFormat="1" ht="16.5" thickBot="1">
      <c r="C75" s="1566"/>
      <c r="D75" s="1567"/>
      <c r="E75" s="1568"/>
      <c r="F75" s="1569"/>
      <c r="G75" s="1572"/>
      <c r="H75" s="1575"/>
      <c r="I75" s="1578"/>
      <c r="J75" s="1555"/>
      <c r="K75" s="1558"/>
      <c r="L75" s="788"/>
      <c r="M75" s="788"/>
      <c r="N75" s="788"/>
      <c r="O75" s="788"/>
      <c r="P75" s="789"/>
      <c r="Q75" s="790">
        <v>360</v>
      </c>
      <c r="R75" s="791"/>
      <c r="S75" s="789"/>
      <c r="T75" s="790"/>
      <c r="U75" s="790"/>
      <c r="V75" s="790"/>
      <c r="W75" s="792"/>
      <c r="X75" s="789"/>
      <c r="Y75" s="791"/>
      <c r="Z75" s="793"/>
      <c r="AA75" s="794"/>
      <c r="AB75" s="792"/>
      <c r="AC75" s="793"/>
    </row>
    <row r="76" spans="1:29" ht="19.5" thickBot="1">
      <c r="A76" s="710"/>
      <c r="B76" s="710"/>
      <c r="C76" s="1559" t="s">
        <v>45</v>
      </c>
      <c r="D76" s="1560"/>
      <c r="E76" s="806"/>
      <c r="F76" s="807"/>
      <c r="G76" s="806"/>
      <c r="H76" s="807"/>
      <c r="I76" s="808"/>
      <c r="J76" s="809"/>
      <c r="K76" s="810"/>
      <c r="L76" s="811">
        <f aca="true" t="shared" si="0" ref="L76:AC76">COUNTA(L6:L75)</f>
        <v>3</v>
      </c>
      <c r="M76" s="811">
        <f t="shared" si="0"/>
        <v>18</v>
      </c>
      <c r="N76" s="811">
        <f t="shared" si="0"/>
        <v>21</v>
      </c>
      <c r="O76" s="811">
        <f t="shared" si="0"/>
        <v>18</v>
      </c>
      <c r="P76" s="811">
        <f t="shared" si="0"/>
        <v>15</v>
      </c>
      <c r="Q76" s="812">
        <f t="shared" si="0"/>
        <v>41</v>
      </c>
      <c r="R76" s="812">
        <f t="shared" si="0"/>
        <v>2</v>
      </c>
      <c r="S76" s="812">
        <f t="shared" si="0"/>
        <v>5</v>
      </c>
      <c r="T76" s="812">
        <f t="shared" si="0"/>
        <v>6</v>
      </c>
      <c r="U76" s="812">
        <f t="shared" si="0"/>
        <v>9</v>
      </c>
      <c r="V76" s="812">
        <f t="shared" si="0"/>
        <v>8</v>
      </c>
      <c r="W76" s="813">
        <f t="shared" si="0"/>
        <v>6</v>
      </c>
      <c r="X76" s="814">
        <f t="shared" si="0"/>
        <v>21</v>
      </c>
      <c r="Y76" s="815">
        <f t="shared" si="0"/>
        <v>13</v>
      </c>
      <c r="Z76" s="815">
        <f t="shared" si="0"/>
        <v>1</v>
      </c>
      <c r="AA76" s="815">
        <f t="shared" si="0"/>
        <v>6</v>
      </c>
      <c r="AB76" s="816">
        <f t="shared" si="0"/>
        <v>4</v>
      </c>
      <c r="AC76" s="817">
        <f t="shared" si="0"/>
        <v>11</v>
      </c>
    </row>
    <row r="77" spans="1:29" ht="18" thickBot="1" thickTop="1">
      <c r="A77" s="710"/>
      <c r="B77" s="710"/>
      <c r="C77" s="1561" t="s">
        <v>161</v>
      </c>
      <c r="D77" s="1562"/>
      <c r="E77" s="818">
        <f>SUM(E6:E75)</f>
        <v>843</v>
      </c>
      <c r="F77" s="819"/>
      <c r="G77" s="818">
        <f>SUM(G6:G75)</f>
        <v>164</v>
      </c>
      <c r="H77" s="820">
        <f>G77/E77</f>
        <v>0.19454329774614473</v>
      </c>
      <c r="I77" s="821">
        <f>SUM(I6:I75)</f>
        <v>44119.65</v>
      </c>
      <c r="J77" s="822"/>
      <c r="K77" s="823">
        <f>SUM(K6:K75)/22</f>
        <v>33.68496897997689</v>
      </c>
      <c r="L77" s="823">
        <f>L5*L76</f>
        <v>238.04999999999998</v>
      </c>
      <c r="M77" s="823">
        <f aca="true" t="shared" si="1" ref="M77:U77">M5*M76</f>
        <v>1745.1000000000001</v>
      </c>
      <c r="N77" s="823">
        <f t="shared" si="1"/>
        <v>3189.9</v>
      </c>
      <c r="O77" s="823">
        <f t="shared" si="1"/>
        <v>1922.3999999999999</v>
      </c>
      <c r="P77" s="823">
        <f t="shared" si="1"/>
        <v>1023.5999999999999</v>
      </c>
      <c r="Q77" s="823">
        <f t="shared" si="1"/>
        <v>9570.22</v>
      </c>
      <c r="R77" s="823">
        <f t="shared" si="1"/>
        <v>174</v>
      </c>
      <c r="S77" s="823">
        <f t="shared" si="1"/>
        <v>2196</v>
      </c>
      <c r="T77" s="823">
        <f t="shared" si="1"/>
        <v>4459.92</v>
      </c>
      <c r="U77" s="823">
        <f t="shared" si="1"/>
        <v>3505.41</v>
      </c>
      <c r="V77" s="823">
        <f>V5*V76</f>
        <v>1266.16</v>
      </c>
      <c r="W77" s="823">
        <f aca="true" t="shared" si="2" ref="W77:AC77">W5*W76</f>
        <v>640.8</v>
      </c>
      <c r="X77" s="823">
        <f t="shared" si="2"/>
        <v>5014.59</v>
      </c>
      <c r="Y77" s="823">
        <f t="shared" si="2"/>
        <v>2676.7000000000003</v>
      </c>
      <c r="Z77" s="823">
        <f t="shared" si="2"/>
        <v>196.8</v>
      </c>
      <c r="AA77" s="823">
        <f t="shared" si="2"/>
        <v>1800</v>
      </c>
      <c r="AB77" s="823">
        <f t="shared" si="2"/>
        <v>1200</v>
      </c>
      <c r="AC77" s="823">
        <f t="shared" si="2"/>
        <v>3300</v>
      </c>
    </row>
    <row r="78" spans="3:29" ht="18" thickBot="1" thickTop="1">
      <c r="C78" s="824"/>
      <c r="D78" s="824"/>
      <c r="E78" s="824"/>
      <c r="F78" s="824"/>
      <c r="G78" s="824"/>
      <c r="H78" s="825"/>
      <c r="I78" s="824"/>
      <c r="J78" s="825"/>
      <c r="K78" s="825"/>
      <c r="L78" s="825"/>
      <c r="M78" s="825"/>
      <c r="N78" s="825"/>
      <c r="O78" s="824"/>
      <c r="P78" s="824"/>
      <c r="Q78" s="824"/>
      <c r="R78" s="824"/>
      <c r="S78" s="824"/>
      <c r="T78" s="824"/>
      <c r="U78" s="824"/>
      <c r="V78" s="824"/>
      <c r="W78" s="824"/>
      <c r="X78" s="824"/>
      <c r="Y78" s="824"/>
      <c r="Z78" s="824"/>
      <c r="AA78" s="824"/>
      <c r="AB78" s="824"/>
      <c r="AC78" s="824"/>
    </row>
    <row r="79" spans="3:29" ht="22.5" thickBot="1" thickTop="1">
      <c r="C79" s="1563" t="s">
        <v>58</v>
      </c>
      <c r="D79" s="1564"/>
      <c r="E79" s="1564"/>
      <c r="F79" s="1564"/>
      <c r="G79" s="1564"/>
      <c r="H79" s="1564"/>
      <c r="I79" s="1564"/>
      <c r="J79" s="1564"/>
      <c r="K79" s="1564"/>
      <c r="L79" s="1564"/>
      <c r="M79" s="1564"/>
      <c r="N79" s="1564"/>
      <c r="O79" s="1565"/>
      <c r="P79" s="834">
        <f>G77</f>
        <v>164</v>
      </c>
      <c r="Q79" s="826"/>
      <c r="R79" s="826"/>
      <c r="S79" s="826"/>
      <c r="T79" s="826"/>
      <c r="U79" s="826"/>
      <c r="V79" s="826"/>
      <c r="W79" s="826"/>
      <c r="X79" s="827"/>
      <c r="Y79" s="826"/>
      <c r="Z79" s="826"/>
      <c r="AA79" s="826"/>
      <c r="AB79" s="826"/>
      <c r="AC79" s="826"/>
    </row>
    <row r="80" ht="16.5" thickTop="1"/>
    <row r="82" ht="15.75">
      <c r="C82" s="828"/>
    </row>
    <row r="83" ht="15.75">
      <c r="C83" s="828"/>
    </row>
    <row r="84" ht="15.75">
      <c r="C84" s="828"/>
    </row>
  </sheetData>
  <sheetProtection/>
  <mergeCells count="126">
    <mergeCell ref="C2:D3"/>
    <mergeCell ref="E2:E3"/>
    <mergeCell ref="F2:F3"/>
    <mergeCell ref="G2:G3"/>
    <mergeCell ref="H2:H3"/>
    <mergeCell ref="I2:I3"/>
    <mergeCell ref="J2:J3"/>
    <mergeCell ref="K2:K3"/>
    <mergeCell ref="L2:P2"/>
    <mergeCell ref="R2:S2"/>
    <mergeCell ref="X2:X3"/>
    <mergeCell ref="Y2:Z2"/>
    <mergeCell ref="AA2:AA3"/>
    <mergeCell ref="AB2:AB3"/>
    <mergeCell ref="AC2:AC3"/>
    <mergeCell ref="C4:D4"/>
    <mergeCell ref="C5:D5"/>
    <mergeCell ref="C6:D13"/>
    <mergeCell ref="E6:E13"/>
    <mergeCell ref="F6:F13"/>
    <mergeCell ref="G6:G13"/>
    <mergeCell ref="H6:H13"/>
    <mergeCell ref="I6:I13"/>
    <mergeCell ref="J6:J13"/>
    <mergeCell ref="K6:K13"/>
    <mergeCell ref="C14:D17"/>
    <mergeCell ref="E14:E17"/>
    <mergeCell ref="F14:F17"/>
    <mergeCell ref="G14:G17"/>
    <mergeCell ref="H14:H17"/>
    <mergeCell ref="I14:I17"/>
    <mergeCell ref="J14:J17"/>
    <mergeCell ref="K14:K17"/>
    <mergeCell ref="C18:D21"/>
    <mergeCell ref="E18:E21"/>
    <mergeCell ref="F18:F21"/>
    <mergeCell ref="G18:G21"/>
    <mergeCell ref="H18:H21"/>
    <mergeCell ref="I18:I21"/>
    <mergeCell ref="J18:J21"/>
    <mergeCell ref="K18:K21"/>
    <mergeCell ref="C22:D24"/>
    <mergeCell ref="E22:E24"/>
    <mergeCell ref="F22:F24"/>
    <mergeCell ref="G22:G24"/>
    <mergeCell ref="H22:H24"/>
    <mergeCell ref="I22:I24"/>
    <mergeCell ref="J22:J24"/>
    <mergeCell ref="K22:K24"/>
    <mergeCell ref="C25:D29"/>
    <mergeCell ref="E25:E29"/>
    <mergeCell ref="F25:F29"/>
    <mergeCell ref="G25:G29"/>
    <mergeCell ref="H25:H29"/>
    <mergeCell ref="I25:I29"/>
    <mergeCell ref="J25:J29"/>
    <mergeCell ref="K25:K29"/>
    <mergeCell ref="C30:D36"/>
    <mergeCell ref="E30:E36"/>
    <mergeCell ref="F30:F36"/>
    <mergeCell ref="G30:G36"/>
    <mergeCell ref="H30:H36"/>
    <mergeCell ref="I30:I36"/>
    <mergeCell ref="J30:J36"/>
    <mergeCell ref="K30:K36"/>
    <mergeCell ref="AD30:AD36"/>
    <mergeCell ref="C37:D40"/>
    <mergeCell ref="E37:E40"/>
    <mergeCell ref="F37:F40"/>
    <mergeCell ref="G37:G40"/>
    <mergeCell ref="H37:H40"/>
    <mergeCell ref="I37:I40"/>
    <mergeCell ref="J37:J40"/>
    <mergeCell ref="K37:K40"/>
    <mergeCell ref="AD37:AE37"/>
    <mergeCell ref="C41:D47"/>
    <mergeCell ref="E41:E47"/>
    <mergeCell ref="F41:F47"/>
    <mergeCell ref="G41:G47"/>
    <mergeCell ref="H41:H47"/>
    <mergeCell ref="I41:I47"/>
    <mergeCell ref="J41:J47"/>
    <mergeCell ref="K41:K47"/>
    <mergeCell ref="C48:D58"/>
    <mergeCell ref="E48:E58"/>
    <mergeCell ref="F48:F58"/>
    <mergeCell ref="G48:G58"/>
    <mergeCell ref="H48:H58"/>
    <mergeCell ref="I48:I58"/>
    <mergeCell ref="J48:J58"/>
    <mergeCell ref="K48:K58"/>
    <mergeCell ref="C59:D62"/>
    <mergeCell ref="E59:E62"/>
    <mergeCell ref="F59:F62"/>
    <mergeCell ref="G59:G62"/>
    <mergeCell ref="H59:H62"/>
    <mergeCell ref="I59:I62"/>
    <mergeCell ref="J59:J62"/>
    <mergeCell ref="K59:K62"/>
    <mergeCell ref="K68:K71"/>
    <mergeCell ref="C63:D67"/>
    <mergeCell ref="E63:E67"/>
    <mergeCell ref="F63:F67"/>
    <mergeCell ref="G63:G67"/>
    <mergeCell ref="H63:H67"/>
    <mergeCell ref="I63:I67"/>
    <mergeCell ref="I72:I75"/>
    <mergeCell ref="J63:J67"/>
    <mergeCell ref="K63:K67"/>
    <mergeCell ref="C68:D71"/>
    <mergeCell ref="E68:E71"/>
    <mergeCell ref="F68:F71"/>
    <mergeCell ref="G68:G71"/>
    <mergeCell ref="H68:H71"/>
    <mergeCell ref="I68:I71"/>
    <mergeCell ref="J68:J71"/>
    <mergeCell ref="J72:J75"/>
    <mergeCell ref="K72:K75"/>
    <mergeCell ref="C76:D76"/>
    <mergeCell ref="C77:D77"/>
    <mergeCell ref="C79:O79"/>
    <mergeCell ref="C72:D75"/>
    <mergeCell ref="E72:E75"/>
    <mergeCell ref="F72:F75"/>
    <mergeCell ref="G72:G75"/>
    <mergeCell ref="H72:H75"/>
  </mergeCells>
  <printOptions/>
  <pageMargins left="0.7500000000000001" right="0.7500000000000001" top="0.984251969" bottom="0.984251969" header="0.5" footer="0.5"/>
  <pageSetup fitToHeight="1" fitToWidth="1" orientation="landscape" paperSize="8" scale="5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AA96"/>
  <sheetViews>
    <sheetView showGridLines="0" zoomScalePageLayoutView="0" workbookViewId="0" topLeftCell="A1">
      <selection activeCell="B84" sqref="B84:C87"/>
    </sheetView>
  </sheetViews>
  <sheetFormatPr defaultColWidth="11.421875" defaultRowHeight="12.75"/>
  <cols>
    <col min="1" max="1" width="2.421875" style="0" customWidth="1"/>
    <col min="2" max="2" width="12.7109375" style="0" customWidth="1"/>
    <col min="3" max="3" width="10.00390625" style="0" customWidth="1"/>
    <col min="4" max="4" width="9.28125" style="188" customWidth="1"/>
    <col min="5" max="5" width="10.421875" style="188" bestFit="1" customWidth="1"/>
    <col min="6" max="6" width="7.8515625" style="188" bestFit="1" customWidth="1"/>
    <col min="7" max="7" width="11.8515625" style="418" bestFit="1" customWidth="1"/>
    <col min="8" max="8" width="11.00390625" style="188" bestFit="1" customWidth="1"/>
    <col min="9" max="9" width="10.28125" style="418" bestFit="1" customWidth="1"/>
    <col min="10" max="10" width="9.7109375" style="418" bestFit="1" customWidth="1"/>
    <col min="11" max="12" width="9.00390625" style="418" customWidth="1"/>
    <col min="13" max="13" width="11.421875" style="418" customWidth="1"/>
    <col min="14" max="14" width="11.140625" style="10" bestFit="1" customWidth="1"/>
    <col min="15" max="15" width="11.00390625" style="10" bestFit="1" customWidth="1"/>
    <col min="16" max="16" width="13.7109375" style="10" bestFit="1" customWidth="1"/>
    <col min="17" max="17" width="12.421875" style="10" bestFit="1" customWidth="1"/>
    <col min="18" max="18" width="11.28125" style="10" customWidth="1"/>
    <col min="19" max="19" width="12.00390625" style="10" bestFit="1" customWidth="1"/>
    <col min="20" max="21" width="11.28125" style="10" customWidth="1"/>
    <col min="22" max="22" width="11.140625" style="10" bestFit="1" customWidth="1"/>
    <col min="23" max="23" width="9.421875" style="10" bestFit="1" customWidth="1"/>
    <col min="24" max="24" width="9.421875" style="10" customWidth="1"/>
    <col min="25" max="25" width="10.28125" style="10" bestFit="1" customWidth="1"/>
    <col min="26" max="26" width="9.28125" style="10" bestFit="1" customWidth="1"/>
  </cols>
  <sheetData>
    <row r="1" spans="10:13" ht="16.5" thickBot="1">
      <c r="J1" s="419"/>
      <c r="K1" s="419"/>
      <c r="L1" s="419"/>
      <c r="M1" s="419"/>
    </row>
    <row r="2" spans="2:26" ht="64.5" thickBot="1">
      <c r="B2" s="1549" t="s">
        <v>218</v>
      </c>
      <c r="C2" s="1550"/>
      <c r="D2" s="1524" t="s">
        <v>270</v>
      </c>
      <c r="E2" s="1752" t="s">
        <v>220</v>
      </c>
      <c r="F2" s="1524" t="s">
        <v>121</v>
      </c>
      <c r="G2" s="1752" t="s">
        <v>221</v>
      </c>
      <c r="H2" s="1524" t="s">
        <v>222</v>
      </c>
      <c r="I2" s="1752" t="s">
        <v>223</v>
      </c>
      <c r="J2" s="1514" t="s">
        <v>271</v>
      </c>
      <c r="K2" s="1754" t="s">
        <v>246</v>
      </c>
      <c r="L2" s="1755"/>
      <c r="M2" s="1755"/>
      <c r="N2" s="1755"/>
      <c r="O2" s="1755"/>
      <c r="P2" s="839" t="s">
        <v>247</v>
      </c>
      <c r="Q2" s="840" t="s">
        <v>125</v>
      </c>
      <c r="R2" s="839" t="s">
        <v>249</v>
      </c>
      <c r="S2" s="839" t="s">
        <v>250</v>
      </c>
      <c r="T2" s="841" t="s">
        <v>2</v>
      </c>
      <c r="U2" s="839" t="s">
        <v>272</v>
      </c>
      <c r="V2" s="1746" t="s">
        <v>18</v>
      </c>
      <c r="W2" s="1746" t="s">
        <v>126</v>
      </c>
      <c r="X2" s="1746" t="s">
        <v>19</v>
      </c>
      <c r="Y2" s="1744" t="s">
        <v>17</v>
      </c>
      <c r="Z2" s="1746" t="s">
        <v>3</v>
      </c>
    </row>
    <row r="3" spans="1:26" ht="102.75" thickBot="1">
      <c r="A3" s="10"/>
      <c r="B3" s="1551"/>
      <c r="C3" s="1552"/>
      <c r="D3" s="1525"/>
      <c r="E3" s="1753"/>
      <c r="F3" s="1525"/>
      <c r="G3" s="1753"/>
      <c r="H3" s="1525"/>
      <c r="I3" s="1753"/>
      <c r="J3" s="1515"/>
      <c r="K3" s="842" t="s">
        <v>251</v>
      </c>
      <c r="L3" s="842" t="s">
        <v>273</v>
      </c>
      <c r="M3" s="842" t="s">
        <v>274</v>
      </c>
      <c r="N3" s="842" t="s">
        <v>254</v>
      </c>
      <c r="O3" s="843" t="s">
        <v>255</v>
      </c>
      <c r="P3" s="844" t="s">
        <v>256</v>
      </c>
      <c r="Q3" s="845" t="s">
        <v>259</v>
      </c>
      <c r="R3" s="845" t="s">
        <v>260</v>
      </c>
      <c r="S3" s="845" t="s">
        <v>261</v>
      </c>
      <c r="T3" s="837" t="s">
        <v>262</v>
      </c>
      <c r="U3" s="837" t="s">
        <v>275</v>
      </c>
      <c r="V3" s="1747"/>
      <c r="W3" s="1747"/>
      <c r="X3" s="1747"/>
      <c r="Y3" s="1745"/>
      <c r="Z3" s="1747"/>
    </row>
    <row r="4" spans="1:26" s="472" customFormat="1" ht="26.25" thickBot="1">
      <c r="A4" s="846"/>
      <c r="B4" s="1503" t="s">
        <v>129</v>
      </c>
      <c r="C4" s="1504"/>
      <c r="D4" s="462"/>
      <c r="E4" s="847"/>
      <c r="F4" s="462"/>
      <c r="G4" s="847"/>
      <c r="H4" s="462"/>
      <c r="I4" s="847"/>
      <c r="J4" s="844"/>
      <c r="K4" s="848" t="s">
        <v>276</v>
      </c>
      <c r="L4" s="471" t="s">
        <v>277</v>
      </c>
      <c r="M4" s="842" t="s">
        <v>278</v>
      </c>
      <c r="N4" s="842" t="s">
        <v>279</v>
      </c>
      <c r="O4" s="843" t="s">
        <v>279</v>
      </c>
      <c r="P4" s="844" t="s">
        <v>55</v>
      </c>
      <c r="Q4" s="845" t="s">
        <v>278</v>
      </c>
      <c r="R4" s="844" t="s">
        <v>278</v>
      </c>
      <c r="S4" s="844" t="s">
        <v>278</v>
      </c>
      <c r="T4" s="462" t="s">
        <v>279</v>
      </c>
      <c r="U4" s="462" t="s">
        <v>280</v>
      </c>
      <c r="V4" s="844" t="s">
        <v>281</v>
      </c>
      <c r="W4" s="469" t="s">
        <v>277</v>
      </c>
      <c r="X4" s="849" t="s">
        <v>134</v>
      </c>
      <c r="Y4" s="581" t="s">
        <v>134</v>
      </c>
      <c r="Z4" s="458" t="s">
        <v>134</v>
      </c>
    </row>
    <row r="5" spans="1:26" ht="27" customHeight="1" thickBot="1">
      <c r="A5" s="10"/>
      <c r="B5" s="1532" t="s">
        <v>138</v>
      </c>
      <c r="C5" s="1533"/>
      <c r="D5" s="611"/>
      <c r="E5" s="850"/>
      <c r="F5" s="611"/>
      <c r="G5" s="851"/>
      <c r="H5" s="614"/>
      <c r="I5" s="852"/>
      <c r="J5" s="613"/>
      <c r="K5" s="853">
        <f>'[5]Catalogue DOT 2019'!E4</f>
        <v>86</v>
      </c>
      <c r="L5" s="854">
        <f>'[5]Catalogue DOT 2019'!E5</f>
        <v>157.3</v>
      </c>
      <c r="M5" s="855">
        <f>'[5]Catalogue DOT 2019'!E6</f>
        <v>147.3</v>
      </c>
      <c r="N5" s="855">
        <v>106.8</v>
      </c>
      <c r="O5" s="856">
        <f>+'[6]Catalogue DOT 2019'!E8</f>
        <v>106.8</v>
      </c>
      <c r="P5" s="857">
        <f>'[6]Catalogue DOT 2019'!E9</f>
        <v>233.42</v>
      </c>
      <c r="Q5" s="857">
        <f>+'[6]Catalogue DOT 2019'!E10</f>
        <v>923.5</v>
      </c>
      <c r="R5" s="858">
        <f>'[6]Catalogue DOT 2019'!I11</f>
        <v>389.49</v>
      </c>
      <c r="S5" s="858">
        <f>'[6]Catalogue DOT 2019'!E12</f>
        <v>158.17</v>
      </c>
      <c r="T5" s="859">
        <f>+'[6]Catalogue DOT 2019'!E7</f>
        <v>106.8</v>
      </c>
      <c r="U5" s="859">
        <v>140</v>
      </c>
      <c r="V5" s="858">
        <f>'[6]Catalogue DOT 2019'!E15</f>
        <v>245.34</v>
      </c>
      <c r="W5" s="860">
        <f>'[6]Catalogue DOT 2019'!E16</f>
        <v>199.94</v>
      </c>
      <c r="X5" s="861">
        <v>300</v>
      </c>
      <c r="Y5" s="862">
        <v>300</v>
      </c>
      <c r="Z5" s="863">
        <v>300</v>
      </c>
    </row>
    <row r="6" spans="2:26" ht="12.75">
      <c r="B6" s="1722" t="s">
        <v>229</v>
      </c>
      <c r="C6" s="1748"/>
      <c r="D6" s="1524">
        <v>103</v>
      </c>
      <c r="E6" s="1678">
        <f>D6/$D$89</f>
        <v>0.12394705174488568</v>
      </c>
      <c r="F6" s="1751">
        <f>COUNTA(K6:Z14)-4</f>
        <v>17</v>
      </c>
      <c r="G6" s="1678">
        <f>F6/D6</f>
        <v>0.1650485436893204</v>
      </c>
      <c r="H6" s="1681">
        <f>$K$5*COUNTA(K6:K14)+$L$5*COUNTA(L6:L14)+$M$5*COUNTA(M6:M14)+$N$5*COUNTA(N6:N14)+$O$5*COUNTA(O6:O14)+$P$5*COUNTA(P6:P14)+$Q$5*COUNTA(Q6:Q14)+$R$5*COUNTA(R6:R14)+$S$5*COUNTA(S6:S14)+$T$5*COUNTA(T6:T14)+$U$5*COUNTA(U6:U14)+$V$5*COUNTA(V6:V14)+$W$5*COUNTA(W6:W14)+$X$5*COUNTA(X6:X14)+$Y$5*COUNTA(Y6:Y14)+$Z$5*COUNTA(Z6:Z14)</f>
        <v>5215.43</v>
      </c>
      <c r="I6" s="1664">
        <f>H6/H89</f>
        <v>0.131198854903263</v>
      </c>
      <c r="J6" s="1666">
        <f>H6/F6</f>
        <v>306.79</v>
      </c>
      <c r="K6" s="864"/>
      <c r="L6" s="864"/>
      <c r="M6" s="864"/>
      <c r="N6" s="864"/>
      <c r="O6" s="865"/>
      <c r="P6" s="866"/>
      <c r="Q6" s="867"/>
      <c r="R6" s="867"/>
      <c r="S6" s="866"/>
      <c r="T6" s="868"/>
      <c r="U6" s="868"/>
      <c r="V6" s="867"/>
      <c r="W6" s="867"/>
      <c r="X6" s="869"/>
      <c r="Y6" s="870"/>
      <c r="Z6" s="871"/>
    </row>
    <row r="7" spans="2:26" ht="12.75">
      <c r="B7" s="1724"/>
      <c r="C7" s="1749"/>
      <c r="D7" s="1677"/>
      <c r="E7" s="1679"/>
      <c r="F7" s="1677"/>
      <c r="G7" s="1679"/>
      <c r="H7" s="1682"/>
      <c r="I7" s="1665"/>
      <c r="J7" s="1667"/>
      <c r="K7" s="872"/>
      <c r="L7" s="872"/>
      <c r="M7" s="872"/>
      <c r="N7" s="872"/>
      <c r="O7" s="873"/>
      <c r="P7" s="874">
        <v>1633</v>
      </c>
      <c r="Q7" s="875"/>
      <c r="R7" s="875">
        <v>35</v>
      </c>
      <c r="S7" s="874">
        <v>1547</v>
      </c>
      <c r="T7" s="876"/>
      <c r="U7" s="876"/>
      <c r="V7" s="875"/>
      <c r="W7" s="875"/>
      <c r="X7" s="877"/>
      <c r="Y7" s="878"/>
      <c r="Z7" s="879"/>
    </row>
    <row r="8" spans="2:26" ht="12.75">
      <c r="B8" s="1724"/>
      <c r="C8" s="1749"/>
      <c r="D8" s="1677"/>
      <c r="E8" s="1679"/>
      <c r="F8" s="1677"/>
      <c r="G8" s="1679"/>
      <c r="H8" s="1682"/>
      <c r="I8" s="1665"/>
      <c r="J8" s="1667"/>
      <c r="K8" s="880"/>
      <c r="L8" s="880">
        <v>52</v>
      </c>
      <c r="M8" s="880"/>
      <c r="N8" s="880">
        <v>52</v>
      </c>
      <c r="O8" s="881"/>
      <c r="P8" s="882"/>
      <c r="Q8" s="883"/>
      <c r="R8" s="883"/>
      <c r="S8" s="882"/>
      <c r="T8" s="884"/>
      <c r="U8" s="884"/>
      <c r="V8" s="883">
        <v>52</v>
      </c>
      <c r="W8" s="883"/>
      <c r="X8" s="885"/>
      <c r="Y8" s="886"/>
      <c r="Z8" s="887"/>
    </row>
    <row r="9" spans="2:26" ht="12.75">
      <c r="B9" s="1724"/>
      <c r="C9" s="1749"/>
      <c r="D9" s="1677"/>
      <c r="E9" s="1679"/>
      <c r="F9" s="1677"/>
      <c r="G9" s="1679"/>
      <c r="H9" s="1682"/>
      <c r="I9" s="1665"/>
      <c r="J9" s="1667"/>
      <c r="K9" s="880">
        <v>544</v>
      </c>
      <c r="L9" s="880"/>
      <c r="M9" s="880"/>
      <c r="N9" s="880"/>
      <c r="O9" s="881"/>
      <c r="P9" s="882"/>
      <c r="Q9" s="883"/>
      <c r="R9" s="883"/>
      <c r="S9" s="882"/>
      <c r="T9" s="884">
        <v>514</v>
      </c>
      <c r="U9" s="884"/>
      <c r="V9" s="883"/>
      <c r="W9" s="883"/>
      <c r="X9" s="885"/>
      <c r="Y9" s="886">
        <v>1647</v>
      </c>
      <c r="Z9" s="887">
        <v>1601</v>
      </c>
    </row>
    <row r="10" spans="2:26" ht="12.75">
      <c r="B10" s="1724"/>
      <c r="C10" s="1749"/>
      <c r="D10" s="1677"/>
      <c r="E10" s="1679"/>
      <c r="F10" s="1677"/>
      <c r="G10" s="1679"/>
      <c r="H10" s="1682"/>
      <c r="I10" s="1665"/>
      <c r="J10" s="1667"/>
      <c r="K10" s="880"/>
      <c r="L10" s="880"/>
      <c r="M10" s="880"/>
      <c r="N10" s="880"/>
      <c r="O10" s="881"/>
      <c r="P10" s="882">
        <v>884</v>
      </c>
      <c r="Q10" s="883"/>
      <c r="R10" s="883">
        <v>1667</v>
      </c>
      <c r="S10" s="882"/>
      <c r="T10" s="884"/>
      <c r="U10" s="884"/>
      <c r="V10" s="883"/>
      <c r="W10" s="883"/>
      <c r="X10" s="885"/>
      <c r="Y10" s="886"/>
      <c r="Z10" s="887">
        <v>46</v>
      </c>
    </row>
    <row r="11" spans="2:26" ht="12.75">
      <c r="B11" s="1724"/>
      <c r="C11" s="1749"/>
      <c r="D11" s="1677"/>
      <c r="E11" s="1679"/>
      <c r="F11" s="1677"/>
      <c r="G11" s="1679"/>
      <c r="H11" s="1682"/>
      <c r="I11" s="1665"/>
      <c r="J11" s="1667"/>
      <c r="K11" s="880"/>
      <c r="L11" s="880"/>
      <c r="M11" s="880">
        <v>139</v>
      </c>
      <c r="N11" s="880"/>
      <c r="O11" s="881">
        <v>139</v>
      </c>
      <c r="P11" s="882">
        <v>315</v>
      </c>
      <c r="Q11" s="883"/>
      <c r="R11" s="883"/>
      <c r="S11" s="882"/>
      <c r="T11" s="884"/>
      <c r="U11" s="884"/>
      <c r="V11" s="883"/>
      <c r="W11" s="883"/>
      <c r="X11" s="885"/>
      <c r="Y11" s="886"/>
      <c r="Z11" s="887"/>
    </row>
    <row r="12" spans="2:26" ht="12.75">
      <c r="B12" s="1724"/>
      <c r="C12" s="1749"/>
      <c r="D12" s="1677"/>
      <c r="E12" s="1679"/>
      <c r="F12" s="1677"/>
      <c r="G12" s="1679"/>
      <c r="H12" s="1682"/>
      <c r="I12" s="1665"/>
      <c r="J12" s="1667"/>
      <c r="K12" s="880"/>
      <c r="L12" s="880"/>
      <c r="M12" s="880"/>
      <c r="N12" s="880"/>
      <c r="O12" s="881"/>
      <c r="P12" s="882">
        <v>721</v>
      </c>
      <c r="Q12" s="883"/>
      <c r="R12" s="883"/>
      <c r="S12" s="882"/>
      <c r="T12" s="884"/>
      <c r="U12" s="884"/>
      <c r="V12" s="883"/>
      <c r="W12" s="883"/>
      <c r="X12" s="885"/>
      <c r="Y12" s="886"/>
      <c r="Z12" s="887"/>
    </row>
    <row r="13" spans="2:26" ht="12.75">
      <c r="B13" s="1724"/>
      <c r="C13" s="1749"/>
      <c r="D13" s="1677"/>
      <c r="E13" s="1679"/>
      <c r="F13" s="1677"/>
      <c r="G13" s="1679"/>
      <c r="H13" s="1682"/>
      <c r="I13" s="1665"/>
      <c r="J13" s="1667"/>
      <c r="K13" s="880"/>
      <c r="L13" s="880"/>
      <c r="M13" s="880"/>
      <c r="N13" s="880"/>
      <c r="O13" s="881"/>
      <c r="P13" s="882"/>
      <c r="Q13" s="883"/>
      <c r="R13" s="883"/>
      <c r="S13" s="882"/>
      <c r="T13" s="884"/>
      <c r="U13" s="884"/>
      <c r="V13" s="883"/>
      <c r="W13" s="883"/>
      <c r="X13" s="885"/>
      <c r="Y13" s="886"/>
      <c r="Z13" s="887"/>
    </row>
    <row r="14" spans="2:26" ht="13.5" thickBot="1">
      <c r="B14" s="1726"/>
      <c r="C14" s="1750"/>
      <c r="D14" s="1525"/>
      <c r="E14" s="1680"/>
      <c r="F14" s="1525"/>
      <c r="G14" s="1680"/>
      <c r="H14" s="1683"/>
      <c r="I14" s="1695"/>
      <c r="J14" s="1668"/>
      <c r="K14" s="888">
        <v>1670</v>
      </c>
      <c r="L14" s="888"/>
      <c r="M14" s="888"/>
      <c r="N14" s="888"/>
      <c r="O14" s="889"/>
      <c r="P14" s="890">
        <v>83</v>
      </c>
      <c r="Q14" s="890">
        <v>172</v>
      </c>
      <c r="R14" s="890"/>
      <c r="S14" s="890"/>
      <c r="T14" s="891"/>
      <c r="U14" s="891"/>
      <c r="V14" s="890">
        <v>83</v>
      </c>
      <c r="W14" s="890"/>
      <c r="X14" s="892"/>
      <c r="Y14" s="893"/>
      <c r="Z14" s="894"/>
    </row>
    <row r="15" spans="2:26" ht="12.75">
      <c r="B15" s="1724" t="s">
        <v>230</v>
      </c>
      <c r="C15" s="1725"/>
      <c r="D15" s="1677">
        <v>50</v>
      </c>
      <c r="E15" s="1679">
        <f>D15/$D$89</f>
        <v>0.06016847172081829</v>
      </c>
      <c r="F15" s="1524">
        <f>COUNTA(K15:Z18)-1</f>
        <v>11</v>
      </c>
      <c r="G15" s="1678">
        <f>F15/D15</f>
        <v>0.22</v>
      </c>
      <c r="H15" s="1681">
        <f>$K$5*COUNTA(K15:K18)+$L$5*COUNTA(L15:L18)+$N$5*COUNTA(N15:N18)+$O$5*COUNTA(O15:O18)+$P$5*COUNTA(P15:P18)+$Q$5*COUNTA(Q15:Q18)+$R$5*COUNTA(R15:R18)+$S$5*COUNTA(S15:S18)+$T$5*COUNTA(T15:T18)+$V$5*COUNTA(V15:V18)+$W$5*COUNTA(W15:W18)+$X$5*COUNTA(X15:X18)+$Y$5*COUNTA(Y15:Y18)+$Z$5*COUNTA(Z15:Z18)+$M$5*COUNTA(M15:M18)+$U$5*COUNTA(U15:U18)</f>
        <v>2322.78</v>
      </c>
      <c r="I15" s="1664">
        <f>H15/H89</f>
        <v>0.058431630027092916</v>
      </c>
      <c r="J15" s="1666">
        <f>H15/F15</f>
        <v>211.1618181818182</v>
      </c>
      <c r="K15" s="895"/>
      <c r="L15" s="895"/>
      <c r="M15" s="895">
        <v>237</v>
      </c>
      <c r="N15" s="895"/>
      <c r="O15" s="896"/>
      <c r="P15" s="867"/>
      <c r="Q15" s="867"/>
      <c r="R15" s="867"/>
      <c r="S15" s="867">
        <v>388</v>
      </c>
      <c r="T15" s="868">
        <v>493</v>
      </c>
      <c r="U15" s="868"/>
      <c r="V15" s="867"/>
      <c r="W15" s="867">
        <v>125</v>
      </c>
      <c r="X15" s="869"/>
      <c r="Y15" s="870">
        <v>409</v>
      </c>
      <c r="Z15" s="871"/>
    </row>
    <row r="16" spans="2:26" ht="12.75">
      <c r="B16" s="1724"/>
      <c r="C16" s="1725"/>
      <c r="D16" s="1677"/>
      <c r="E16" s="1679"/>
      <c r="F16" s="1677"/>
      <c r="G16" s="1679"/>
      <c r="H16" s="1682"/>
      <c r="I16" s="1665"/>
      <c r="J16" s="1667"/>
      <c r="K16" s="897"/>
      <c r="L16" s="897"/>
      <c r="M16" s="897"/>
      <c r="N16" s="897"/>
      <c r="O16" s="873"/>
      <c r="P16" s="874">
        <v>530</v>
      </c>
      <c r="Q16" s="875"/>
      <c r="R16" s="874"/>
      <c r="S16" s="874">
        <v>677</v>
      </c>
      <c r="T16" s="898"/>
      <c r="U16" s="898"/>
      <c r="V16" s="874"/>
      <c r="W16" s="875"/>
      <c r="X16" s="877"/>
      <c r="Y16" s="878"/>
      <c r="Z16" s="899"/>
    </row>
    <row r="17" spans="2:26" ht="12.75">
      <c r="B17" s="1724"/>
      <c r="C17" s="1725"/>
      <c r="D17" s="1677"/>
      <c r="E17" s="1679"/>
      <c r="F17" s="1677"/>
      <c r="G17" s="1679"/>
      <c r="H17" s="1682"/>
      <c r="I17" s="1665"/>
      <c r="J17" s="1667"/>
      <c r="K17" s="897"/>
      <c r="L17" s="897"/>
      <c r="M17" s="897"/>
      <c r="N17" s="897"/>
      <c r="O17" s="873"/>
      <c r="P17" s="874"/>
      <c r="Q17" s="875"/>
      <c r="R17" s="874"/>
      <c r="S17" s="874">
        <v>242</v>
      </c>
      <c r="T17" s="898"/>
      <c r="U17" s="898"/>
      <c r="V17" s="874"/>
      <c r="W17" s="875"/>
      <c r="X17" s="877">
        <v>298</v>
      </c>
      <c r="Y17" s="878"/>
      <c r="Z17" s="899"/>
    </row>
    <row r="18" spans="2:26" ht="13.5" thickBot="1">
      <c r="B18" s="1724"/>
      <c r="C18" s="1725"/>
      <c r="D18" s="1677"/>
      <c r="E18" s="1679"/>
      <c r="F18" s="1677"/>
      <c r="G18" s="1679"/>
      <c r="H18" s="1682"/>
      <c r="I18" s="1665"/>
      <c r="J18" s="1667"/>
      <c r="K18" s="897"/>
      <c r="L18" s="897">
        <v>757</v>
      </c>
      <c r="M18" s="897"/>
      <c r="N18" s="897"/>
      <c r="O18" s="873"/>
      <c r="P18" s="874"/>
      <c r="Q18" s="875"/>
      <c r="R18" s="874"/>
      <c r="S18" s="874">
        <v>411</v>
      </c>
      <c r="T18" s="898"/>
      <c r="U18" s="898"/>
      <c r="V18" s="874">
        <v>757</v>
      </c>
      <c r="W18" s="875"/>
      <c r="X18" s="877"/>
      <c r="Y18" s="878"/>
      <c r="Z18" s="899"/>
    </row>
    <row r="19" spans="2:26" ht="12.75">
      <c r="B19" s="1722" t="s">
        <v>231</v>
      </c>
      <c r="C19" s="1723"/>
      <c r="D19" s="1524">
        <v>45</v>
      </c>
      <c r="E19" s="1678">
        <f>D19/$D$89</f>
        <v>0.05415162454873646</v>
      </c>
      <c r="F19" s="1524">
        <f>COUNTA(K19:Z22)-2</f>
        <v>8</v>
      </c>
      <c r="G19" s="1678">
        <f>F19/D19</f>
        <v>0.17777777777777778</v>
      </c>
      <c r="H19" s="1681">
        <f>$K$5*COUNTA(K19:K22)+$L$5*COUNTA(L19:L22)+$N$5*COUNTA(N19:N22)+$O$5*COUNTA(O19:O22)+$P$5*COUNTA(P19:P22)+$Q$5*COUNTA(Q19:Q22)+$R$5*COUNTA(R19:R22)+$S$5*COUNTA(S19:S22)+$T$5*COUNTA(T19:T22)+$V$5*COUNTA(V19:V22)+$W$5*COUNTA(W19:W22)++$X$5*COUNTA(X19:X22)+$Y$5*COUNTA(Y19:Y22)+$Z$5*COUNTA(Z19:Z22)+$M$5*COUNTA(M19:M22)+$U$5*COUNTA(U19:U22)</f>
        <v>1900.3</v>
      </c>
      <c r="I19" s="1664">
        <f>H19/H89</f>
        <v>0.04780376382631358</v>
      </c>
      <c r="J19" s="1666">
        <f>H19/F19</f>
        <v>237.5375</v>
      </c>
      <c r="K19" s="895"/>
      <c r="L19" s="895"/>
      <c r="M19" s="895">
        <v>944</v>
      </c>
      <c r="N19" s="895">
        <v>944</v>
      </c>
      <c r="O19" s="896"/>
      <c r="P19" s="867"/>
      <c r="Q19" s="867"/>
      <c r="R19" s="867"/>
      <c r="S19" s="867"/>
      <c r="T19" s="868"/>
      <c r="U19" s="868"/>
      <c r="V19" s="867"/>
      <c r="W19" s="867"/>
      <c r="X19" s="869"/>
      <c r="Y19" s="868"/>
      <c r="Z19" s="871"/>
    </row>
    <row r="20" spans="2:26" ht="12.75">
      <c r="B20" s="1724"/>
      <c r="C20" s="1725"/>
      <c r="D20" s="1677"/>
      <c r="E20" s="1679"/>
      <c r="F20" s="1677"/>
      <c r="G20" s="1679"/>
      <c r="H20" s="1682"/>
      <c r="I20" s="1665"/>
      <c r="J20" s="1667"/>
      <c r="K20" s="900"/>
      <c r="L20" s="900"/>
      <c r="M20" s="900"/>
      <c r="N20" s="900"/>
      <c r="O20" s="901"/>
      <c r="P20" s="875">
        <v>666</v>
      </c>
      <c r="Q20" s="875"/>
      <c r="R20" s="875"/>
      <c r="S20" s="875"/>
      <c r="T20" s="876"/>
      <c r="U20" s="876"/>
      <c r="V20" s="875">
        <v>666</v>
      </c>
      <c r="W20" s="875"/>
      <c r="X20" s="877"/>
      <c r="Y20" s="876"/>
      <c r="Z20" s="879"/>
    </row>
    <row r="21" spans="2:26" ht="12.75">
      <c r="B21" s="1724"/>
      <c r="C21" s="1725"/>
      <c r="D21" s="1677"/>
      <c r="E21" s="1679"/>
      <c r="F21" s="1677"/>
      <c r="G21" s="1679"/>
      <c r="H21" s="1682"/>
      <c r="I21" s="1665"/>
      <c r="J21" s="1667"/>
      <c r="K21" s="902"/>
      <c r="L21" s="902">
        <v>1567</v>
      </c>
      <c r="M21" s="902"/>
      <c r="N21" s="902"/>
      <c r="O21" s="903"/>
      <c r="P21" s="883">
        <v>423</v>
      </c>
      <c r="Q21" s="883"/>
      <c r="R21" s="883"/>
      <c r="S21" s="883"/>
      <c r="T21" s="884"/>
      <c r="U21" s="884"/>
      <c r="V21" s="883"/>
      <c r="W21" s="883"/>
      <c r="X21" s="885"/>
      <c r="Y21" s="884"/>
      <c r="Z21" s="887">
        <v>1679</v>
      </c>
    </row>
    <row r="22" spans="2:26" ht="13.5" thickBot="1">
      <c r="B22" s="1726"/>
      <c r="C22" s="1727"/>
      <c r="D22" s="1525"/>
      <c r="E22" s="1680"/>
      <c r="F22" s="1525"/>
      <c r="G22" s="1680"/>
      <c r="H22" s="1683"/>
      <c r="I22" s="1695"/>
      <c r="J22" s="1668"/>
      <c r="K22" s="888">
        <v>815</v>
      </c>
      <c r="L22" s="888">
        <v>1523</v>
      </c>
      <c r="M22" s="888"/>
      <c r="N22" s="888"/>
      <c r="O22" s="889"/>
      <c r="P22" s="890">
        <v>909</v>
      </c>
      <c r="Q22" s="890"/>
      <c r="R22" s="890"/>
      <c r="S22" s="890"/>
      <c r="T22" s="891"/>
      <c r="U22" s="891"/>
      <c r="V22" s="890"/>
      <c r="W22" s="890"/>
      <c r="X22" s="892"/>
      <c r="Y22" s="891"/>
      <c r="Z22" s="894"/>
    </row>
    <row r="23" spans="2:26" ht="12.75">
      <c r="B23" s="1724" t="s">
        <v>232</v>
      </c>
      <c r="C23" s="1725"/>
      <c r="D23" s="1677">
        <v>5</v>
      </c>
      <c r="E23" s="1679">
        <f>D23/$D$89</f>
        <v>0.006016847172081829</v>
      </c>
      <c r="F23" s="1677">
        <f>COUNTA(K23:Z25)</f>
        <v>0</v>
      </c>
      <c r="G23" s="1743">
        <f>F23/D23</f>
        <v>0</v>
      </c>
      <c r="H23" s="1681">
        <f>$K$5*COUNTA(K23:K25)+$L$5*COUNTA(L23:L25)+$N$5*COUNTA(N23:N25)+$O$5*COUNTA(O23:O25)+$P$5*COUNTA(P23:P25)+$Q$5*COUNTA(Q23:Q25)+$R$5*COUNTA(R23:R25)+$S$5*COUNTA(S23:S25)+$T$5*COUNTA(T23:T25)+$V$5*COUNTA(V23:V25)+$W$5*COUNTA(W23:W25)+$X$5*COUNTA(X23:X25)+$Y$5*COUNTA(Y23:Y25)+$Z$5*COUNTA(Z23:Z25)+$M$5*COUNTA(M23:M25)+$U$5*COUNTA(U23:U25)</f>
        <v>0</v>
      </c>
      <c r="I23" s="1665">
        <f>H23/H89</f>
        <v>0</v>
      </c>
      <c r="J23" s="1514"/>
      <c r="K23" s="904"/>
      <c r="L23" s="904"/>
      <c r="M23" s="904"/>
      <c r="N23" s="904"/>
      <c r="O23" s="905"/>
      <c r="P23" s="906"/>
      <c r="Q23" s="906"/>
      <c r="R23" s="906"/>
      <c r="S23" s="906"/>
      <c r="T23" s="907"/>
      <c r="U23" s="907"/>
      <c r="V23" s="906"/>
      <c r="W23" s="906"/>
      <c r="X23" s="908"/>
      <c r="Y23" s="909"/>
      <c r="Z23" s="910"/>
    </row>
    <row r="24" spans="2:26" ht="12.75">
      <c r="B24" s="1724"/>
      <c r="C24" s="1725"/>
      <c r="D24" s="1677"/>
      <c r="E24" s="1679"/>
      <c r="F24" s="1677"/>
      <c r="G24" s="1743"/>
      <c r="H24" s="1682"/>
      <c r="I24" s="1665"/>
      <c r="J24" s="1667"/>
      <c r="K24" s="911"/>
      <c r="L24" s="911"/>
      <c r="M24" s="911"/>
      <c r="N24" s="911"/>
      <c r="O24" s="912"/>
      <c r="P24" s="913"/>
      <c r="Q24" s="913"/>
      <c r="R24" s="913"/>
      <c r="S24" s="913"/>
      <c r="T24" s="914"/>
      <c r="U24" s="914"/>
      <c r="V24" s="913"/>
      <c r="W24" s="913"/>
      <c r="X24" s="915"/>
      <c r="Y24" s="916"/>
      <c r="Z24" s="917"/>
    </row>
    <row r="25" spans="2:26" ht="13.5" thickBot="1">
      <c r="B25" s="1724"/>
      <c r="C25" s="1725"/>
      <c r="D25" s="1677"/>
      <c r="E25" s="1679"/>
      <c r="F25" s="1677"/>
      <c r="G25" s="1743"/>
      <c r="H25" s="1683"/>
      <c r="I25" s="1665"/>
      <c r="J25" s="1668"/>
      <c r="K25" s="918"/>
      <c r="L25" s="918"/>
      <c r="M25" s="918"/>
      <c r="N25" s="918"/>
      <c r="O25" s="919"/>
      <c r="P25" s="920"/>
      <c r="Q25" s="920"/>
      <c r="R25" s="920"/>
      <c r="S25" s="920"/>
      <c r="T25" s="921"/>
      <c r="U25" s="921"/>
      <c r="V25" s="920"/>
      <c r="W25" s="920"/>
      <c r="X25" s="922"/>
      <c r="Y25" s="923"/>
      <c r="Z25" s="924"/>
    </row>
    <row r="26" spans="2:26" ht="12.75">
      <c r="B26" s="1722" t="s">
        <v>233</v>
      </c>
      <c r="C26" s="1723"/>
      <c r="D26" s="1524">
        <v>46</v>
      </c>
      <c r="E26" s="1678">
        <f>D26/$D$89</f>
        <v>0.05535499398315283</v>
      </c>
      <c r="F26" s="1716">
        <f>COUNTA(K26:Z30)-2</f>
        <v>8</v>
      </c>
      <c r="G26" s="1678">
        <f>F26/D26</f>
        <v>0.17391304347826086</v>
      </c>
      <c r="H26" s="1681">
        <f>$K$5*COUNTA(K26:K30)+$L$5*COUNTA(L26:L30)+$N$5*COUNTA(N26:N30)+$O$5*COUNTA(O26:O30)+$P$5*COUNTA(P26:P30)+$Q$5*COUNTA(Q26:Q30)+$R$5*COUNTA(R26:R30)+$S$5*COUNTA(S26:S30)+$T$5*COUNTA(T26:T30)+$V$5*COUNTA(V26:V30)+$W$5*COUNTA(W26:W30)+$X$5*COUNTA(X26:X30)+$Y$5*COUNTA(Y26:Y30)+$Z$5*COUNTA(Z26:Z30)+$M$5*COUNTA(M26:M30)+$U$5*COUNTA(U26:U30)</f>
        <v>2048.59</v>
      </c>
      <c r="I26" s="1664">
        <f>H26/H89</f>
        <v>0.051534132787953345</v>
      </c>
      <c r="J26" s="1666">
        <f>H26/F26</f>
        <v>256.07375</v>
      </c>
      <c r="K26" s="895"/>
      <c r="L26" s="895"/>
      <c r="M26" s="895"/>
      <c r="N26" s="895"/>
      <c r="O26" s="896"/>
      <c r="P26" s="867"/>
      <c r="Q26" s="867"/>
      <c r="R26" s="867"/>
      <c r="S26" s="867"/>
      <c r="T26" s="868"/>
      <c r="U26" s="868"/>
      <c r="V26" s="867">
        <v>162</v>
      </c>
      <c r="W26" s="867"/>
      <c r="X26" s="869"/>
      <c r="Y26" s="870"/>
      <c r="Z26" s="871"/>
    </row>
    <row r="27" spans="2:26" ht="12.75">
      <c r="B27" s="1724"/>
      <c r="C27" s="1725"/>
      <c r="D27" s="1677"/>
      <c r="E27" s="1679"/>
      <c r="F27" s="1717"/>
      <c r="G27" s="1679"/>
      <c r="H27" s="1682"/>
      <c r="I27" s="1665"/>
      <c r="J27" s="1667"/>
      <c r="K27" s="900"/>
      <c r="L27" s="900">
        <v>175</v>
      </c>
      <c r="M27" s="900"/>
      <c r="N27" s="900"/>
      <c r="O27" s="901">
        <v>175</v>
      </c>
      <c r="P27" s="875"/>
      <c r="Q27" s="875"/>
      <c r="R27" s="875">
        <v>921</v>
      </c>
      <c r="S27" s="875"/>
      <c r="T27" s="876"/>
      <c r="U27" s="876"/>
      <c r="V27" s="875">
        <v>882</v>
      </c>
      <c r="W27" s="875"/>
      <c r="X27" s="877"/>
      <c r="Y27" s="878"/>
      <c r="Z27" s="879"/>
    </row>
    <row r="28" spans="2:26" ht="12.75">
      <c r="B28" s="1724"/>
      <c r="C28" s="1725"/>
      <c r="D28" s="1677"/>
      <c r="E28" s="1679"/>
      <c r="F28" s="1717"/>
      <c r="G28" s="1679"/>
      <c r="H28" s="1682"/>
      <c r="I28" s="1665"/>
      <c r="J28" s="1667"/>
      <c r="K28" s="900"/>
      <c r="L28" s="900">
        <v>546</v>
      </c>
      <c r="M28" s="900"/>
      <c r="N28" s="900"/>
      <c r="O28" s="901">
        <v>546</v>
      </c>
      <c r="P28" s="875"/>
      <c r="Q28" s="875"/>
      <c r="R28" s="875"/>
      <c r="S28" s="875"/>
      <c r="T28" s="876">
        <v>106</v>
      </c>
      <c r="U28" s="876"/>
      <c r="V28" s="875"/>
      <c r="W28" s="875"/>
      <c r="X28" s="877"/>
      <c r="Y28" s="878"/>
      <c r="Z28" s="879">
        <v>6</v>
      </c>
    </row>
    <row r="29" spans="2:26" ht="12.75">
      <c r="B29" s="1724"/>
      <c r="C29" s="1725"/>
      <c r="D29" s="1677"/>
      <c r="E29" s="1679"/>
      <c r="F29" s="1717"/>
      <c r="G29" s="1679"/>
      <c r="H29" s="1682"/>
      <c r="I29" s="1665"/>
      <c r="J29" s="1667"/>
      <c r="K29" s="902"/>
      <c r="L29" s="902"/>
      <c r="M29" s="902"/>
      <c r="N29" s="902"/>
      <c r="O29" s="903"/>
      <c r="P29" s="883">
        <v>528</v>
      </c>
      <c r="Q29" s="883"/>
      <c r="R29" s="883"/>
      <c r="S29" s="883"/>
      <c r="T29" s="884"/>
      <c r="U29" s="884"/>
      <c r="V29" s="883"/>
      <c r="W29" s="883"/>
      <c r="X29" s="885"/>
      <c r="Y29" s="886"/>
      <c r="Z29" s="887"/>
    </row>
    <row r="30" spans="2:26" ht="13.5" thickBot="1">
      <c r="B30" s="1724"/>
      <c r="C30" s="1725"/>
      <c r="D30" s="1677"/>
      <c r="E30" s="1679"/>
      <c r="F30" s="1718"/>
      <c r="G30" s="1679"/>
      <c r="H30" s="1683"/>
      <c r="I30" s="1665"/>
      <c r="J30" s="1668"/>
      <c r="K30" s="888"/>
      <c r="L30" s="888"/>
      <c r="M30" s="888"/>
      <c r="N30" s="888"/>
      <c r="O30" s="889"/>
      <c r="P30" s="890"/>
      <c r="Q30" s="890"/>
      <c r="R30" s="890"/>
      <c r="S30" s="890"/>
      <c r="T30" s="891"/>
      <c r="U30" s="891"/>
      <c r="V30" s="890"/>
      <c r="W30" s="890"/>
      <c r="X30" s="892"/>
      <c r="Y30" s="893"/>
      <c r="Z30" s="894"/>
    </row>
    <row r="31" spans="2:26" ht="12.75">
      <c r="B31" s="1741" t="s">
        <v>234</v>
      </c>
      <c r="C31" s="1722"/>
      <c r="D31" s="1524">
        <v>99</v>
      </c>
      <c r="E31" s="1678">
        <f>D31/$D$89</f>
        <v>0.11913357400722022</v>
      </c>
      <c r="F31" s="1524">
        <f>COUNTA(K31:Z37)-7</f>
        <v>13</v>
      </c>
      <c r="G31" s="1678">
        <f>F31/D31</f>
        <v>0.13131313131313133</v>
      </c>
      <c r="H31" s="1681">
        <f>$K$5*COUNTA(K31:K37)+$L$5*COUNTA(L31:L37)+$M$5*COUNTA(M31:M37)+$N$5*COUNTA(N31:N37)+$O$5*COUNTA(O31:O37)+$P$5*COUNTA(P31:P37)+$Q$5*COUNTA(Q31:Q37)+$R$5*COUNTA(R31:R37)+$S$5*COUNTA(S31:S37)+$T$5*COUNTA(T31:T37)+$U$5*COUNTA(U31:U37)+$V$5*COUNTA(V31:V37)+$W$5*COUNTA(W31:W37)+$X$5*COUNTA(X31:X37)+$Y$5*COUNTA(Y31:Y37)+$Z$5*COUNTA(Z31:Z37)</f>
        <v>3051.28</v>
      </c>
      <c r="I31" s="1664">
        <f>H31/H89</f>
        <v>0.07675770588220497</v>
      </c>
      <c r="J31" s="1666">
        <f>H31/F31</f>
        <v>234.71384615384616</v>
      </c>
      <c r="K31" s="895"/>
      <c r="L31" s="895">
        <v>617</v>
      </c>
      <c r="M31" s="895"/>
      <c r="N31" s="895">
        <v>617</v>
      </c>
      <c r="O31" s="925"/>
      <c r="P31" s="867"/>
      <c r="Q31" s="867"/>
      <c r="R31" s="867"/>
      <c r="S31" s="867"/>
      <c r="T31" s="868"/>
      <c r="U31" s="868"/>
      <c r="V31" s="867">
        <v>617</v>
      </c>
      <c r="W31" s="867"/>
      <c r="X31" s="869"/>
      <c r="Y31" s="870"/>
      <c r="Z31" s="871"/>
    </row>
    <row r="32" spans="2:26" ht="12.75">
      <c r="B32" s="1742"/>
      <c r="C32" s="1724"/>
      <c r="D32" s="1677"/>
      <c r="E32" s="1679"/>
      <c r="F32" s="1677"/>
      <c r="G32" s="1679"/>
      <c r="H32" s="1682"/>
      <c r="I32" s="1665"/>
      <c r="J32" s="1667"/>
      <c r="K32" s="900"/>
      <c r="L32" s="900"/>
      <c r="M32" s="900">
        <v>393</v>
      </c>
      <c r="N32" s="900">
        <v>393</v>
      </c>
      <c r="O32" s="901"/>
      <c r="P32" s="875"/>
      <c r="Q32" s="875"/>
      <c r="R32" s="875"/>
      <c r="S32" s="875"/>
      <c r="T32" s="876"/>
      <c r="U32" s="876"/>
      <c r="V32" s="875"/>
      <c r="W32" s="875"/>
      <c r="X32" s="877"/>
      <c r="Y32" s="878"/>
      <c r="Z32" s="879"/>
    </row>
    <row r="33" spans="2:26" ht="12.75">
      <c r="B33" s="1742"/>
      <c r="C33" s="1724"/>
      <c r="D33" s="1677"/>
      <c r="E33" s="1679"/>
      <c r="F33" s="1677"/>
      <c r="G33" s="1679"/>
      <c r="H33" s="1682"/>
      <c r="I33" s="1665"/>
      <c r="J33" s="1667"/>
      <c r="K33" s="902"/>
      <c r="L33" s="902"/>
      <c r="M33" s="902">
        <v>741</v>
      </c>
      <c r="N33" s="902">
        <v>741</v>
      </c>
      <c r="O33" s="903"/>
      <c r="P33" s="883"/>
      <c r="Q33" s="883"/>
      <c r="R33" s="883"/>
      <c r="S33" s="883"/>
      <c r="T33" s="884"/>
      <c r="U33" s="884"/>
      <c r="V33" s="883"/>
      <c r="W33" s="883"/>
      <c r="X33" s="885"/>
      <c r="Y33" s="886"/>
      <c r="Z33" s="887"/>
    </row>
    <row r="34" spans="2:26" ht="12.75">
      <c r="B34" s="1742"/>
      <c r="C34" s="1724"/>
      <c r="D34" s="1677"/>
      <c r="E34" s="1679"/>
      <c r="F34" s="1677"/>
      <c r="G34" s="1679"/>
      <c r="H34" s="1682"/>
      <c r="I34" s="1665"/>
      <c r="J34" s="1667"/>
      <c r="K34" s="902"/>
      <c r="L34" s="902">
        <v>524</v>
      </c>
      <c r="M34" s="902">
        <v>969</v>
      </c>
      <c r="N34" s="902">
        <v>524</v>
      </c>
      <c r="O34" s="903"/>
      <c r="P34" s="883"/>
      <c r="Q34" s="883"/>
      <c r="R34" s="883"/>
      <c r="S34" s="883"/>
      <c r="T34" s="884"/>
      <c r="U34" s="884"/>
      <c r="V34" s="883"/>
      <c r="W34" s="883"/>
      <c r="X34" s="885"/>
      <c r="Y34" s="886"/>
      <c r="Z34" s="887"/>
    </row>
    <row r="35" spans="2:26" ht="12.75">
      <c r="B35" s="1742"/>
      <c r="C35" s="1724"/>
      <c r="D35" s="1677"/>
      <c r="E35" s="1679"/>
      <c r="F35" s="1677"/>
      <c r="G35" s="1679"/>
      <c r="H35" s="1682"/>
      <c r="I35" s="1665"/>
      <c r="J35" s="1667"/>
      <c r="K35" s="902"/>
      <c r="L35" s="902">
        <v>510</v>
      </c>
      <c r="M35" s="902">
        <v>582</v>
      </c>
      <c r="N35" s="902"/>
      <c r="O35" s="903">
        <v>527</v>
      </c>
      <c r="P35" s="883"/>
      <c r="Q35" s="883"/>
      <c r="R35" s="883"/>
      <c r="S35" s="883"/>
      <c r="T35" s="884"/>
      <c r="U35" s="884"/>
      <c r="V35" s="883">
        <v>838</v>
      </c>
      <c r="W35" s="883"/>
      <c r="X35" s="885"/>
      <c r="Y35" s="886"/>
      <c r="Z35" s="887"/>
    </row>
    <row r="36" spans="2:26" ht="12.75">
      <c r="B36" s="1742"/>
      <c r="C36" s="1724"/>
      <c r="D36" s="1677"/>
      <c r="E36" s="1679"/>
      <c r="F36" s="1677"/>
      <c r="G36" s="1679"/>
      <c r="H36" s="1682"/>
      <c r="I36" s="1665"/>
      <c r="J36" s="1667"/>
      <c r="K36" s="902"/>
      <c r="L36" s="902">
        <v>386</v>
      </c>
      <c r="M36" s="902">
        <v>492</v>
      </c>
      <c r="N36" s="902">
        <v>492</v>
      </c>
      <c r="O36" s="903"/>
      <c r="P36" s="883"/>
      <c r="Q36" s="883"/>
      <c r="R36" s="883"/>
      <c r="S36" s="883"/>
      <c r="T36" s="884"/>
      <c r="U36" s="884"/>
      <c r="V36" s="883"/>
      <c r="W36" s="883"/>
      <c r="X36" s="885">
        <v>99</v>
      </c>
      <c r="Y36" s="886"/>
      <c r="Z36" s="887"/>
    </row>
    <row r="37" spans="2:26" ht="13.5" thickBot="1">
      <c r="B37" s="1742"/>
      <c r="C37" s="1724"/>
      <c r="D37" s="1677"/>
      <c r="E37" s="1679"/>
      <c r="F37" s="1677"/>
      <c r="G37" s="1679"/>
      <c r="H37" s="1683"/>
      <c r="I37" s="1665"/>
      <c r="J37" s="1668"/>
      <c r="K37" s="888"/>
      <c r="L37" s="888"/>
      <c r="M37" s="888">
        <v>236</v>
      </c>
      <c r="N37" s="888">
        <v>236</v>
      </c>
      <c r="O37" s="889"/>
      <c r="P37" s="890"/>
      <c r="Q37" s="890"/>
      <c r="R37" s="890"/>
      <c r="S37" s="890"/>
      <c r="T37" s="891"/>
      <c r="U37" s="891"/>
      <c r="V37" s="890"/>
      <c r="W37" s="890"/>
      <c r="X37" s="892"/>
      <c r="Y37" s="893"/>
      <c r="Z37" s="894"/>
    </row>
    <row r="38" spans="2:27" ht="12.75">
      <c r="B38" s="1735" t="s">
        <v>237</v>
      </c>
      <c r="C38" s="1736"/>
      <c r="D38" s="1524">
        <v>72</v>
      </c>
      <c r="E38" s="1678">
        <f>D38/$D$89</f>
        <v>0.08664259927797834</v>
      </c>
      <c r="F38" s="1524">
        <f>COUNTA(K38:Z47)-8</f>
        <v>21</v>
      </c>
      <c r="G38" s="1678">
        <f>F38/D38</f>
        <v>0.2916666666666667</v>
      </c>
      <c r="H38" s="1681">
        <f>$K$5*COUNTA(K38:K47)+$L$5*COUNTA(L38:L47)+$M$5*COUNTA(M38:M47)+$N$5*COUNTA(N38:N47)+$O$5*COUNTA(O38:O47)+$P$5*COUNTA(P38:P47)+$Q$5*COUNTA(Q38:Q47)+$R$5*COUNTA(R38:R47)+$S$5*COUNTA(S38:S47)+$T$5*COUNTA(T38:T47)+$U$5*COUNTA(U38:U47)+$V$5*COUNTA(V38:V47)+$W$5*COUNTA(W38:W47)+$X$5*COUNTA(X38:X47)+$Y$5*COUNTA(Y38:Y47)+$Z$5*COUNTA(Z38:Z47)</f>
        <v>5133.12</v>
      </c>
      <c r="I38" s="1664">
        <f>H38/H89</f>
        <v>0.1291282724686243</v>
      </c>
      <c r="J38" s="1666">
        <f>H38/F38</f>
        <v>244.43428571428572</v>
      </c>
      <c r="K38" s="895"/>
      <c r="L38" s="895"/>
      <c r="M38" s="895">
        <v>1642</v>
      </c>
      <c r="N38" s="895">
        <v>1642</v>
      </c>
      <c r="O38" s="896"/>
      <c r="P38" s="867">
        <v>1551</v>
      </c>
      <c r="Q38" s="867"/>
      <c r="R38" s="867"/>
      <c r="S38" s="867"/>
      <c r="T38" s="868"/>
      <c r="U38" s="868"/>
      <c r="V38" s="867"/>
      <c r="W38" s="867"/>
      <c r="X38" s="869"/>
      <c r="Y38" s="870"/>
      <c r="Z38" s="871"/>
      <c r="AA38" s="926"/>
    </row>
    <row r="39" spans="2:26" ht="12.75">
      <c r="B39" s="1737"/>
      <c r="C39" s="1738"/>
      <c r="D39" s="1677"/>
      <c r="E39" s="1679"/>
      <c r="F39" s="1677"/>
      <c r="G39" s="1679"/>
      <c r="H39" s="1682"/>
      <c r="I39" s="1665"/>
      <c r="J39" s="1667"/>
      <c r="K39" s="900"/>
      <c r="L39" s="900"/>
      <c r="M39" s="902">
        <v>310</v>
      </c>
      <c r="N39" s="900"/>
      <c r="O39" s="903">
        <v>310</v>
      </c>
      <c r="P39" s="875">
        <v>607</v>
      </c>
      <c r="Q39" s="875"/>
      <c r="R39" s="875"/>
      <c r="S39" s="875"/>
      <c r="T39" s="876"/>
      <c r="U39" s="876"/>
      <c r="V39" s="875"/>
      <c r="W39" s="875"/>
      <c r="X39" s="877"/>
      <c r="Y39" s="878"/>
      <c r="Z39" s="879"/>
    </row>
    <row r="40" spans="2:26" ht="12.75">
      <c r="B40" s="1737"/>
      <c r="C40" s="1738"/>
      <c r="D40" s="1677"/>
      <c r="E40" s="1679"/>
      <c r="F40" s="1677"/>
      <c r="G40" s="1679"/>
      <c r="H40" s="1682"/>
      <c r="I40" s="1665"/>
      <c r="J40" s="1667"/>
      <c r="K40" s="902"/>
      <c r="L40" s="902"/>
      <c r="M40" s="902">
        <v>26</v>
      </c>
      <c r="N40" s="902"/>
      <c r="O40" s="903">
        <v>26</v>
      </c>
      <c r="P40" s="883"/>
      <c r="Q40" s="883"/>
      <c r="R40" s="883"/>
      <c r="S40" s="883"/>
      <c r="T40" s="884"/>
      <c r="U40" s="884"/>
      <c r="V40" s="883">
        <v>362</v>
      </c>
      <c r="W40" s="883"/>
      <c r="X40" s="885"/>
      <c r="Y40" s="886"/>
      <c r="Z40" s="887"/>
    </row>
    <row r="41" spans="2:26" ht="12.75">
      <c r="B41" s="1737"/>
      <c r="C41" s="1738"/>
      <c r="D41" s="1677"/>
      <c r="E41" s="1679"/>
      <c r="F41" s="1677"/>
      <c r="G41" s="1679"/>
      <c r="H41" s="1682"/>
      <c r="I41" s="1665"/>
      <c r="J41" s="1667"/>
      <c r="K41" s="902"/>
      <c r="L41" s="902"/>
      <c r="M41" s="902">
        <v>41</v>
      </c>
      <c r="N41" s="902"/>
      <c r="O41" s="903">
        <v>41</v>
      </c>
      <c r="P41" s="883"/>
      <c r="Q41" s="883"/>
      <c r="R41" s="883"/>
      <c r="S41" s="883"/>
      <c r="T41" s="884"/>
      <c r="U41" s="884"/>
      <c r="V41" s="883"/>
      <c r="W41" s="883">
        <v>3</v>
      </c>
      <c r="X41" s="885">
        <v>1557</v>
      </c>
      <c r="Y41" s="886"/>
      <c r="Z41" s="887"/>
    </row>
    <row r="42" spans="2:26" ht="12.75">
      <c r="B42" s="1737"/>
      <c r="C42" s="1738"/>
      <c r="D42" s="1677"/>
      <c r="E42" s="1679"/>
      <c r="F42" s="1677"/>
      <c r="G42" s="1679"/>
      <c r="H42" s="1682"/>
      <c r="I42" s="1665"/>
      <c r="J42" s="1667"/>
      <c r="K42" s="902"/>
      <c r="L42" s="902"/>
      <c r="M42" s="902">
        <v>663</v>
      </c>
      <c r="N42" s="902"/>
      <c r="O42" s="903">
        <v>663</v>
      </c>
      <c r="P42" s="883"/>
      <c r="Q42" s="883"/>
      <c r="R42" s="883"/>
      <c r="S42" s="883"/>
      <c r="T42" s="884"/>
      <c r="U42" s="884"/>
      <c r="V42" s="883"/>
      <c r="W42" s="883"/>
      <c r="X42" s="885"/>
      <c r="Y42" s="886"/>
      <c r="Z42" s="887"/>
    </row>
    <row r="43" spans="2:26" ht="12.75">
      <c r="B43" s="1737"/>
      <c r="C43" s="1738"/>
      <c r="D43" s="1677"/>
      <c r="E43" s="1679"/>
      <c r="F43" s="1677"/>
      <c r="G43" s="1679"/>
      <c r="H43" s="1682"/>
      <c r="I43" s="1665"/>
      <c r="J43" s="1667"/>
      <c r="K43" s="902"/>
      <c r="L43" s="902"/>
      <c r="M43" s="902">
        <v>323</v>
      </c>
      <c r="N43" s="902">
        <v>323</v>
      </c>
      <c r="O43" s="903"/>
      <c r="P43" s="883"/>
      <c r="Q43" s="883"/>
      <c r="R43" s="883"/>
      <c r="S43" s="883"/>
      <c r="T43" s="884"/>
      <c r="U43" s="884"/>
      <c r="V43" s="883"/>
      <c r="W43" s="883"/>
      <c r="X43" s="885"/>
      <c r="Y43" s="886">
        <v>1643</v>
      </c>
      <c r="Z43" s="887"/>
    </row>
    <row r="44" spans="2:26" ht="12.75">
      <c r="B44" s="1737"/>
      <c r="C44" s="1738"/>
      <c r="D44" s="1677"/>
      <c r="E44" s="1679"/>
      <c r="F44" s="1677"/>
      <c r="G44" s="1679"/>
      <c r="H44" s="1682"/>
      <c r="I44" s="1665"/>
      <c r="J44" s="1667"/>
      <c r="K44" s="902"/>
      <c r="L44" s="902"/>
      <c r="M44" s="902">
        <v>407</v>
      </c>
      <c r="N44" s="902">
        <v>407</v>
      </c>
      <c r="O44" s="903"/>
      <c r="P44" s="883">
        <v>652</v>
      </c>
      <c r="Q44" s="883"/>
      <c r="R44" s="883"/>
      <c r="S44" s="883"/>
      <c r="T44" s="884"/>
      <c r="U44" s="884"/>
      <c r="V44" s="883">
        <v>746</v>
      </c>
      <c r="W44" s="883"/>
      <c r="X44" s="885">
        <v>839</v>
      </c>
      <c r="Y44" s="886"/>
      <c r="Z44" s="887"/>
    </row>
    <row r="45" spans="2:26" ht="12.75">
      <c r="B45" s="1737"/>
      <c r="C45" s="1738"/>
      <c r="D45" s="1677"/>
      <c r="E45" s="1679"/>
      <c r="F45" s="1677"/>
      <c r="G45" s="1679"/>
      <c r="H45" s="1682"/>
      <c r="I45" s="1665"/>
      <c r="J45" s="1667"/>
      <c r="K45" s="902"/>
      <c r="L45" s="902">
        <v>19</v>
      </c>
      <c r="M45" s="902"/>
      <c r="N45" s="902">
        <v>19</v>
      </c>
      <c r="O45" s="903"/>
      <c r="P45" s="883"/>
      <c r="Q45" s="883"/>
      <c r="R45" s="883"/>
      <c r="S45" s="883"/>
      <c r="T45" s="884"/>
      <c r="U45" s="884"/>
      <c r="V45" s="883"/>
      <c r="W45" s="883"/>
      <c r="X45" s="885"/>
      <c r="Y45" s="886"/>
      <c r="Z45" s="887"/>
    </row>
    <row r="46" spans="2:26" ht="12.75">
      <c r="B46" s="1737"/>
      <c r="C46" s="1738"/>
      <c r="D46" s="1677"/>
      <c r="E46" s="1679"/>
      <c r="F46" s="1677"/>
      <c r="G46" s="1679"/>
      <c r="H46" s="1682"/>
      <c r="I46" s="1665"/>
      <c r="J46" s="1667"/>
      <c r="K46" s="902"/>
      <c r="L46" s="902"/>
      <c r="M46" s="902">
        <v>1544</v>
      </c>
      <c r="N46" s="902"/>
      <c r="O46" s="903">
        <v>1544</v>
      </c>
      <c r="P46" s="883"/>
      <c r="Q46" s="883"/>
      <c r="R46" s="883"/>
      <c r="S46" s="883"/>
      <c r="T46" s="884"/>
      <c r="U46" s="884"/>
      <c r="V46" s="883">
        <v>1544</v>
      </c>
      <c r="W46" s="883"/>
      <c r="X46" s="885"/>
      <c r="Y46" s="886"/>
      <c r="Z46" s="887"/>
    </row>
    <row r="47" spans="2:26" ht="13.5" thickBot="1">
      <c r="B47" s="1739"/>
      <c r="C47" s="1740"/>
      <c r="D47" s="1525"/>
      <c r="E47" s="1680"/>
      <c r="F47" s="1525"/>
      <c r="G47" s="1680"/>
      <c r="H47" s="1683"/>
      <c r="I47" s="1695"/>
      <c r="J47" s="1668"/>
      <c r="K47" s="888"/>
      <c r="L47" s="888"/>
      <c r="M47" s="888"/>
      <c r="N47" s="888"/>
      <c r="O47" s="889"/>
      <c r="P47" s="890"/>
      <c r="Q47" s="890"/>
      <c r="R47" s="890"/>
      <c r="S47" s="890"/>
      <c r="T47" s="891"/>
      <c r="U47" s="891"/>
      <c r="V47" s="890"/>
      <c r="W47" s="890"/>
      <c r="X47" s="892">
        <v>715</v>
      </c>
      <c r="Y47" s="893"/>
      <c r="Z47" s="894"/>
    </row>
    <row r="48" spans="2:26" ht="12.75">
      <c r="B48" s="1722" t="s">
        <v>238</v>
      </c>
      <c r="C48" s="1723"/>
      <c r="D48" s="1524">
        <v>81</v>
      </c>
      <c r="E48" s="1678">
        <f>D48/$D$89</f>
        <v>0.09747292418772563</v>
      </c>
      <c r="F48" s="1524">
        <f>COUNTA(K48:Z57)-6</f>
        <v>19</v>
      </c>
      <c r="G48" s="1678">
        <f>F48/D48</f>
        <v>0.2345679012345679</v>
      </c>
      <c r="H48" s="1681">
        <f>$K$5*COUNTA(K48:K57)+$L$5*COUNTA(L48:L57)+$N$5*COUNTA(N48:N57)+$O$5*COUNTA(O48:O57)+$P$5*COUNTA(P48:P57)+$Q$5*COUNTA(Q48:Q57)+$R$5*COUNTA(R48:R57)+$S$5*COUNTA(S48:S57)+$T$5*COUNTA(T48:T57)+$V$5*COUNTA(V48:V57)+$W$5*COUNTA(W48:W57)+$X$5*COUNTA(X48:X57)+$Y$5*COUNTA(Y48:Y57)+$Z$5*COUNTA(Z48:Z57)+$M$5*COUNTA(M48:M57)+$U$5*COUNTA(U48:U57)</f>
        <v>4826.36</v>
      </c>
      <c r="I48" s="1664">
        <f>H48/H89</f>
        <v>0.12141144744554376</v>
      </c>
      <c r="J48" s="1666">
        <f>H48/F48</f>
        <v>254.01894736842104</v>
      </c>
      <c r="K48" s="895"/>
      <c r="L48" s="895"/>
      <c r="M48" s="895"/>
      <c r="N48" s="895"/>
      <c r="O48" s="896"/>
      <c r="P48" s="867"/>
      <c r="Q48" s="867"/>
      <c r="R48" s="867"/>
      <c r="S48" s="867"/>
      <c r="T48" s="868"/>
      <c r="U48" s="868"/>
      <c r="V48" s="867"/>
      <c r="W48" s="867"/>
      <c r="X48" s="869"/>
      <c r="Y48" s="870"/>
      <c r="Z48" s="871"/>
    </row>
    <row r="49" spans="2:26" ht="12.75">
      <c r="B49" s="1724"/>
      <c r="C49" s="1725"/>
      <c r="D49" s="1677"/>
      <c r="E49" s="1679"/>
      <c r="F49" s="1677"/>
      <c r="G49" s="1679"/>
      <c r="H49" s="1682"/>
      <c r="I49" s="1665"/>
      <c r="J49" s="1667"/>
      <c r="K49" s="900">
        <v>4</v>
      </c>
      <c r="L49" s="900"/>
      <c r="M49" s="900"/>
      <c r="N49" s="900"/>
      <c r="O49" s="901"/>
      <c r="P49" s="875">
        <v>154</v>
      </c>
      <c r="Q49" s="875"/>
      <c r="R49" s="875"/>
      <c r="S49" s="875">
        <v>734</v>
      </c>
      <c r="T49" s="876"/>
      <c r="U49" s="876"/>
      <c r="V49" s="875">
        <v>734</v>
      </c>
      <c r="W49" s="875"/>
      <c r="X49" s="877"/>
      <c r="Y49" s="878"/>
      <c r="Z49" s="879"/>
    </row>
    <row r="50" spans="2:26" ht="12.75">
      <c r="B50" s="1724"/>
      <c r="C50" s="1725"/>
      <c r="D50" s="1677"/>
      <c r="E50" s="1679"/>
      <c r="F50" s="1677"/>
      <c r="G50" s="1679"/>
      <c r="H50" s="1682"/>
      <c r="I50" s="1665"/>
      <c r="J50" s="1667"/>
      <c r="K50" s="902"/>
      <c r="L50" s="902"/>
      <c r="M50" s="902"/>
      <c r="N50" s="902"/>
      <c r="O50" s="903"/>
      <c r="P50" s="883"/>
      <c r="Q50" s="883"/>
      <c r="R50" s="883">
        <v>32</v>
      </c>
      <c r="S50" s="883"/>
      <c r="T50" s="884"/>
      <c r="U50" s="884"/>
      <c r="V50" s="883"/>
      <c r="W50" s="883"/>
      <c r="X50" s="885"/>
      <c r="Y50" s="886"/>
      <c r="Z50" s="887">
        <v>1612</v>
      </c>
    </row>
    <row r="51" spans="2:26" ht="12.75">
      <c r="B51" s="1724"/>
      <c r="C51" s="1725"/>
      <c r="D51" s="1677"/>
      <c r="E51" s="1679"/>
      <c r="F51" s="1677"/>
      <c r="G51" s="1679"/>
      <c r="H51" s="1682"/>
      <c r="I51" s="1665"/>
      <c r="J51" s="1667"/>
      <c r="K51" s="902"/>
      <c r="L51" s="902"/>
      <c r="M51" s="902">
        <v>166</v>
      </c>
      <c r="N51" s="902"/>
      <c r="O51" s="903"/>
      <c r="P51" s="883"/>
      <c r="Q51" s="883"/>
      <c r="R51" s="883"/>
      <c r="S51" s="883">
        <v>812</v>
      </c>
      <c r="T51" s="884"/>
      <c r="U51" s="884"/>
      <c r="V51" s="883"/>
      <c r="W51" s="883"/>
      <c r="X51" s="885"/>
      <c r="Y51" s="886"/>
      <c r="Z51" s="887"/>
    </row>
    <row r="52" spans="2:26" ht="12.75">
      <c r="B52" s="1724"/>
      <c r="C52" s="1725"/>
      <c r="D52" s="1677"/>
      <c r="E52" s="1679"/>
      <c r="F52" s="1677"/>
      <c r="G52" s="1679"/>
      <c r="H52" s="1682"/>
      <c r="I52" s="1665"/>
      <c r="J52" s="1667"/>
      <c r="K52" s="902"/>
      <c r="L52" s="902"/>
      <c r="M52" s="902">
        <v>414</v>
      </c>
      <c r="N52" s="902"/>
      <c r="O52" s="903">
        <v>414</v>
      </c>
      <c r="P52" s="883"/>
      <c r="Q52" s="883"/>
      <c r="R52" s="883"/>
      <c r="S52" s="883">
        <v>704</v>
      </c>
      <c r="T52" s="884"/>
      <c r="U52" s="884"/>
      <c r="V52" s="883">
        <v>910</v>
      </c>
      <c r="W52" s="883"/>
      <c r="X52" s="885"/>
      <c r="Y52" s="886"/>
      <c r="Z52" s="887"/>
    </row>
    <row r="53" spans="2:26" ht="12.75">
      <c r="B53" s="1724"/>
      <c r="C53" s="1725"/>
      <c r="D53" s="1677"/>
      <c r="E53" s="1679"/>
      <c r="F53" s="1677"/>
      <c r="G53" s="1679"/>
      <c r="H53" s="1682"/>
      <c r="I53" s="1665"/>
      <c r="J53" s="1667"/>
      <c r="K53" s="902"/>
      <c r="L53" s="902">
        <v>170</v>
      </c>
      <c r="M53" s="902"/>
      <c r="N53" s="902">
        <v>170</v>
      </c>
      <c r="O53" s="903"/>
      <c r="P53" s="883"/>
      <c r="Q53" s="883"/>
      <c r="R53" s="883"/>
      <c r="S53" s="883">
        <v>239</v>
      </c>
      <c r="T53" s="884"/>
      <c r="U53" s="884"/>
      <c r="V53" s="883"/>
      <c r="W53" s="883"/>
      <c r="X53" s="885"/>
      <c r="Y53" s="886"/>
      <c r="Z53" s="887"/>
    </row>
    <row r="54" spans="2:26" ht="12.75">
      <c r="B54" s="1724"/>
      <c r="C54" s="1725"/>
      <c r="D54" s="1677"/>
      <c r="E54" s="1679"/>
      <c r="F54" s="1677"/>
      <c r="G54" s="1679"/>
      <c r="H54" s="1682"/>
      <c r="I54" s="1665"/>
      <c r="J54" s="1667"/>
      <c r="K54" s="902"/>
      <c r="L54" s="902"/>
      <c r="M54" s="902"/>
      <c r="N54" s="902"/>
      <c r="O54" s="903"/>
      <c r="P54" s="883"/>
      <c r="Q54" s="883"/>
      <c r="R54" s="883"/>
      <c r="S54" s="883"/>
      <c r="T54" s="884"/>
      <c r="U54" s="884"/>
      <c r="V54" s="883">
        <v>355</v>
      </c>
      <c r="W54" s="883"/>
      <c r="X54" s="885"/>
      <c r="Y54" s="886"/>
      <c r="Z54" s="887">
        <v>822</v>
      </c>
    </row>
    <row r="55" spans="2:26" ht="12.75">
      <c r="B55" s="1724"/>
      <c r="C55" s="1725"/>
      <c r="D55" s="1677"/>
      <c r="E55" s="1679"/>
      <c r="F55" s="1677"/>
      <c r="G55" s="1679"/>
      <c r="H55" s="1682"/>
      <c r="I55" s="1665"/>
      <c r="J55" s="1667"/>
      <c r="K55" s="902"/>
      <c r="L55" s="902"/>
      <c r="M55" s="902">
        <v>24</v>
      </c>
      <c r="N55" s="902"/>
      <c r="O55" s="903">
        <v>24</v>
      </c>
      <c r="P55" s="883">
        <v>840</v>
      </c>
      <c r="Q55" s="883"/>
      <c r="R55" s="883"/>
      <c r="S55" s="883"/>
      <c r="T55" s="884">
        <v>894</v>
      </c>
      <c r="U55" s="884"/>
      <c r="V55" s="883">
        <v>894</v>
      </c>
      <c r="W55" s="883"/>
      <c r="X55" s="885"/>
      <c r="Y55" s="886"/>
      <c r="Z55" s="887"/>
    </row>
    <row r="56" spans="2:26" ht="12.75">
      <c r="B56" s="1724"/>
      <c r="C56" s="1725"/>
      <c r="D56" s="1677"/>
      <c r="E56" s="1679"/>
      <c r="F56" s="1677"/>
      <c r="G56" s="1679"/>
      <c r="H56" s="1682"/>
      <c r="I56" s="1665"/>
      <c r="J56" s="1667"/>
      <c r="K56" s="902"/>
      <c r="L56" s="902"/>
      <c r="M56" s="902">
        <v>599</v>
      </c>
      <c r="N56" s="902"/>
      <c r="O56" s="903">
        <v>599</v>
      </c>
      <c r="P56" s="883"/>
      <c r="Q56" s="883"/>
      <c r="R56" s="883">
        <v>215</v>
      </c>
      <c r="S56" s="883"/>
      <c r="T56" s="884"/>
      <c r="U56" s="884"/>
      <c r="V56" s="883"/>
      <c r="W56" s="883"/>
      <c r="X56" s="885"/>
      <c r="Y56" s="886"/>
      <c r="Z56" s="887"/>
    </row>
    <row r="57" spans="2:26" ht="13.5" thickBot="1">
      <c r="B57" s="1726"/>
      <c r="C57" s="1727"/>
      <c r="D57" s="1525"/>
      <c r="E57" s="1680"/>
      <c r="F57" s="1525"/>
      <c r="G57" s="1680"/>
      <c r="H57" s="1683"/>
      <c r="I57" s="1695"/>
      <c r="J57" s="1668"/>
      <c r="K57" s="888"/>
      <c r="L57" s="888"/>
      <c r="M57" s="888"/>
      <c r="N57" s="888"/>
      <c r="O57" s="889"/>
      <c r="P57" s="890"/>
      <c r="Q57" s="890"/>
      <c r="R57" s="890"/>
      <c r="S57" s="890"/>
      <c r="T57" s="891"/>
      <c r="U57" s="891"/>
      <c r="V57" s="890"/>
      <c r="W57" s="890"/>
      <c r="X57" s="892"/>
      <c r="Y57" s="893"/>
      <c r="Z57" s="894"/>
    </row>
    <row r="58" spans="2:26" ht="12.75">
      <c r="B58" s="1731" t="s">
        <v>239</v>
      </c>
      <c r="C58" s="1732"/>
      <c r="D58" s="1733">
        <v>109</v>
      </c>
      <c r="E58" s="1734">
        <f>D58/$D$89</f>
        <v>0.13116726835138387</v>
      </c>
      <c r="F58" s="1524">
        <f>COUNTA(K58:Z66)-3</f>
        <v>29</v>
      </c>
      <c r="G58" s="1678">
        <f>F58/D58</f>
        <v>0.26605504587155965</v>
      </c>
      <c r="H58" s="1681">
        <f>$K$5*COUNTA(K58:K66)+$L$5*COUNTA(L58:L66)+$N$5*COUNTA(N58:N66)+$O$5*COUNTA(O58:O66)+$P$5*COUNTA(P58:P66)+$Q$5*COUNTA(Q58:Q66)+$R$5*COUNTA(R58:R66)+$S$5*COUNTA(S58:S66)+$T$5*COUNTA(T58:T66)+$V$5*COUNTA(V58:V66)+$W$5*COUNTA(W58:W66)+$X$5*COUNTA(X58:X66)+$Y$5*COUNTA(Y58:Y66)+$Z$5*COUNTA(Z58:Z66)+$M$5*COUNTA(M58:M66)+$U$5*COUNTA(U58:U66)</f>
        <v>5166.24</v>
      </c>
      <c r="I58" s="1664">
        <f>H58/H89</f>
        <v>0.12996143599960758</v>
      </c>
      <c r="J58" s="1666">
        <f>H58/F58</f>
        <v>178.14620689655172</v>
      </c>
      <c r="K58" s="895"/>
      <c r="L58" s="895">
        <v>263</v>
      </c>
      <c r="M58" s="895">
        <v>47</v>
      </c>
      <c r="N58" s="895">
        <v>283</v>
      </c>
      <c r="O58" s="896">
        <v>47</v>
      </c>
      <c r="P58" s="867">
        <v>62</v>
      </c>
      <c r="Q58" s="867"/>
      <c r="R58" s="867"/>
      <c r="S58" s="867">
        <v>556</v>
      </c>
      <c r="T58" s="868">
        <v>118</v>
      </c>
      <c r="U58" s="868"/>
      <c r="V58" s="867">
        <v>583</v>
      </c>
      <c r="W58" s="867">
        <v>654</v>
      </c>
      <c r="X58" s="869"/>
      <c r="Y58" s="870"/>
      <c r="Z58" s="871"/>
    </row>
    <row r="59" spans="2:26" ht="12.75">
      <c r="B59" s="1687"/>
      <c r="C59" s="1688"/>
      <c r="D59" s="1691"/>
      <c r="E59" s="1693"/>
      <c r="F59" s="1677"/>
      <c r="G59" s="1679"/>
      <c r="H59" s="1682"/>
      <c r="I59" s="1665"/>
      <c r="J59" s="1667"/>
      <c r="K59" s="900"/>
      <c r="L59" s="900">
        <v>1546</v>
      </c>
      <c r="M59" s="900">
        <v>81</v>
      </c>
      <c r="N59" s="900">
        <v>263</v>
      </c>
      <c r="O59" s="901">
        <v>1615</v>
      </c>
      <c r="P59" s="875">
        <v>231</v>
      </c>
      <c r="Q59" s="875"/>
      <c r="R59" s="875"/>
      <c r="S59" s="875">
        <v>1652</v>
      </c>
      <c r="T59" s="876"/>
      <c r="U59" s="876"/>
      <c r="V59" s="875">
        <v>907</v>
      </c>
      <c r="W59" s="875"/>
      <c r="X59" s="877"/>
      <c r="Y59" s="878"/>
      <c r="Z59" s="879">
        <v>77</v>
      </c>
    </row>
    <row r="60" spans="2:26" ht="12.75">
      <c r="B60" s="1687"/>
      <c r="C60" s="1688"/>
      <c r="D60" s="1691"/>
      <c r="E60" s="1693"/>
      <c r="F60" s="1677"/>
      <c r="G60" s="1679"/>
      <c r="H60" s="1682"/>
      <c r="I60" s="1665"/>
      <c r="J60" s="1667"/>
      <c r="K60" s="902"/>
      <c r="L60" s="902">
        <v>27</v>
      </c>
      <c r="M60" s="902"/>
      <c r="N60" s="902">
        <v>832</v>
      </c>
      <c r="O60" s="903">
        <v>85</v>
      </c>
      <c r="P60" s="883">
        <v>623</v>
      </c>
      <c r="Q60" s="883"/>
      <c r="R60" s="883"/>
      <c r="S60" s="883"/>
      <c r="T60" s="884"/>
      <c r="U60" s="884"/>
      <c r="V60" s="883"/>
      <c r="W60" s="883"/>
      <c r="X60" s="885"/>
      <c r="Y60" s="886"/>
      <c r="Z60" s="887"/>
    </row>
    <row r="61" spans="2:26" ht="12.75">
      <c r="B61" s="1687"/>
      <c r="C61" s="1688"/>
      <c r="D61" s="1691"/>
      <c r="E61" s="1693"/>
      <c r="F61" s="1677"/>
      <c r="G61" s="1679"/>
      <c r="H61" s="1682"/>
      <c r="I61" s="1665"/>
      <c r="J61" s="1667"/>
      <c r="K61" s="902"/>
      <c r="L61" s="902">
        <v>149</v>
      </c>
      <c r="M61" s="902">
        <v>773</v>
      </c>
      <c r="N61" s="902">
        <v>27</v>
      </c>
      <c r="O61" s="903"/>
      <c r="P61" s="883">
        <v>907</v>
      </c>
      <c r="Q61" s="883"/>
      <c r="R61" s="883"/>
      <c r="S61" s="883"/>
      <c r="T61" s="884"/>
      <c r="U61" s="884"/>
      <c r="V61" s="883"/>
      <c r="W61" s="883"/>
      <c r="X61" s="885"/>
      <c r="Y61" s="886"/>
      <c r="Z61" s="887"/>
    </row>
    <row r="62" spans="2:26" ht="12.75">
      <c r="B62" s="1687"/>
      <c r="C62" s="1688"/>
      <c r="D62" s="1691"/>
      <c r="E62" s="1693"/>
      <c r="F62" s="1677"/>
      <c r="G62" s="1679"/>
      <c r="H62" s="1682"/>
      <c r="I62" s="1665"/>
      <c r="J62" s="1667"/>
      <c r="K62" s="902"/>
      <c r="L62" s="902">
        <v>400</v>
      </c>
      <c r="M62" s="902"/>
      <c r="N62" s="902">
        <v>1570</v>
      </c>
      <c r="O62" s="903"/>
      <c r="P62" s="883"/>
      <c r="Q62" s="883"/>
      <c r="R62" s="883"/>
      <c r="S62" s="883"/>
      <c r="T62" s="884"/>
      <c r="U62" s="884"/>
      <c r="V62" s="883"/>
      <c r="W62" s="883"/>
      <c r="X62" s="885"/>
      <c r="Y62" s="886"/>
      <c r="Z62" s="887"/>
    </row>
    <row r="63" spans="2:26" ht="12.75">
      <c r="B63" s="1687"/>
      <c r="C63" s="1688"/>
      <c r="D63" s="1691"/>
      <c r="E63" s="1693"/>
      <c r="F63" s="1677"/>
      <c r="G63" s="1679"/>
      <c r="H63" s="1682"/>
      <c r="I63" s="1665"/>
      <c r="J63" s="1667"/>
      <c r="K63" s="902"/>
      <c r="L63" s="902">
        <v>1615</v>
      </c>
      <c r="M63" s="902"/>
      <c r="N63" s="902">
        <v>658</v>
      </c>
      <c r="O63" s="903"/>
      <c r="P63" s="883"/>
      <c r="Q63" s="883"/>
      <c r="R63" s="883"/>
      <c r="S63" s="883"/>
      <c r="T63" s="884"/>
      <c r="U63" s="884"/>
      <c r="V63" s="883"/>
      <c r="W63" s="883"/>
      <c r="X63" s="885"/>
      <c r="Y63" s="886"/>
      <c r="Z63" s="887"/>
    </row>
    <row r="64" spans="2:26" ht="12.75">
      <c r="B64" s="1687"/>
      <c r="C64" s="1688"/>
      <c r="D64" s="1691"/>
      <c r="E64" s="1693"/>
      <c r="F64" s="1677"/>
      <c r="G64" s="1679"/>
      <c r="H64" s="1682"/>
      <c r="I64" s="1665"/>
      <c r="J64" s="1667"/>
      <c r="K64" s="902"/>
      <c r="L64" s="902">
        <v>61</v>
      </c>
      <c r="M64" s="902"/>
      <c r="N64" s="902"/>
      <c r="O64" s="903"/>
      <c r="P64" s="883"/>
      <c r="Q64" s="883"/>
      <c r="R64" s="883"/>
      <c r="S64" s="883"/>
      <c r="T64" s="884"/>
      <c r="U64" s="884"/>
      <c r="V64" s="883"/>
      <c r="W64" s="883"/>
      <c r="X64" s="885"/>
      <c r="Y64" s="886"/>
      <c r="Z64" s="887"/>
    </row>
    <row r="65" spans="2:26" ht="12.75">
      <c r="B65" s="1687"/>
      <c r="C65" s="1688"/>
      <c r="D65" s="1691"/>
      <c r="E65" s="1693"/>
      <c r="F65" s="1677"/>
      <c r="G65" s="1679"/>
      <c r="H65" s="1682"/>
      <c r="I65" s="1665"/>
      <c r="J65" s="1667"/>
      <c r="K65" s="902"/>
      <c r="L65" s="902">
        <v>85</v>
      </c>
      <c r="M65" s="902"/>
      <c r="N65" s="902"/>
      <c r="O65" s="903"/>
      <c r="P65" s="883"/>
      <c r="Q65" s="883"/>
      <c r="R65" s="883"/>
      <c r="S65" s="883"/>
      <c r="T65" s="884"/>
      <c r="U65" s="884"/>
      <c r="V65" s="883"/>
      <c r="W65" s="883"/>
      <c r="X65" s="885"/>
      <c r="Y65" s="886"/>
      <c r="Z65" s="887"/>
    </row>
    <row r="66" spans="2:26" ht="13.5" thickBot="1">
      <c r="B66" s="1687"/>
      <c r="C66" s="1688"/>
      <c r="D66" s="1691"/>
      <c r="E66" s="1693"/>
      <c r="F66" s="1677"/>
      <c r="G66" s="1679"/>
      <c r="H66" s="1682"/>
      <c r="I66" s="1665"/>
      <c r="J66" s="1667"/>
      <c r="K66" s="902"/>
      <c r="L66" s="902">
        <v>901</v>
      </c>
      <c r="M66" s="902"/>
      <c r="N66" s="902"/>
      <c r="O66" s="903"/>
      <c r="P66" s="883"/>
      <c r="Q66" s="883"/>
      <c r="R66" s="883"/>
      <c r="S66" s="883"/>
      <c r="T66" s="884"/>
      <c r="U66" s="884"/>
      <c r="V66" s="883"/>
      <c r="W66" s="883"/>
      <c r="X66" s="885"/>
      <c r="Y66" s="886"/>
      <c r="Z66" s="887"/>
    </row>
    <row r="67" spans="2:26" ht="12.75">
      <c r="B67" s="1722" t="s">
        <v>240</v>
      </c>
      <c r="C67" s="1723"/>
      <c r="D67" s="1524">
        <v>41</v>
      </c>
      <c r="E67" s="1678">
        <f>D67/$D$89</f>
        <v>0.049338146811071</v>
      </c>
      <c r="F67" s="1524">
        <f>COUNTA(K67:Z70)-1</f>
        <v>8</v>
      </c>
      <c r="G67" s="1678">
        <f>F67/D67</f>
        <v>0.1951219512195122</v>
      </c>
      <c r="H67" s="1681">
        <f>$K$5*COUNTA(K67:K70)+$L$5*COUNTA(L67:L70)+$N$5*COUNTA(N67:N70)+$O$5*COUNTA(O67:O70)+$P$5*COUNTA(P67:P70)+$Q$5*COUNTA(Q67:Q70)+$R$5*COUNTA(R67:R70)+$S$5*COUNTA(S67:S70)+$T$5*COUNTA(T67:T70)+$V$5*COUNTA(V67:V70)+$W$5*COUNTA(W67:W70)+$X$5*COUNTA(X67:X70)+$Y$5*COUNTA(Y67:Y70)+$Z$5*COUNTA(Z67:Z70)+$M$5*COUNTA(M67:M70)+$U$5*COUNTA(U67:U70)</f>
        <v>1765.7199999999998</v>
      </c>
      <c r="I67" s="1664">
        <f>H67/H89</f>
        <v>0.04441828230458265</v>
      </c>
      <c r="J67" s="1728">
        <f>H67/F67</f>
        <v>220.71499999999997</v>
      </c>
      <c r="K67" s="895"/>
      <c r="L67" s="895"/>
      <c r="M67" s="895"/>
      <c r="N67" s="895"/>
      <c r="O67" s="896"/>
      <c r="P67" s="867"/>
      <c r="Q67" s="867"/>
      <c r="R67" s="867"/>
      <c r="S67" s="867"/>
      <c r="T67" s="868"/>
      <c r="U67" s="868"/>
      <c r="V67" s="867">
        <v>967</v>
      </c>
      <c r="W67" s="867"/>
      <c r="X67" s="869"/>
      <c r="Y67" s="870"/>
      <c r="Z67" s="871"/>
    </row>
    <row r="68" spans="2:26" ht="12.75">
      <c r="B68" s="1724"/>
      <c r="C68" s="1725"/>
      <c r="D68" s="1677"/>
      <c r="E68" s="1679"/>
      <c r="F68" s="1677"/>
      <c r="G68" s="1679"/>
      <c r="H68" s="1682"/>
      <c r="I68" s="1665"/>
      <c r="J68" s="1729"/>
      <c r="K68" s="900"/>
      <c r="L68" s="900"/>
      <c r="M68" s="900">
        <v>506</v>
      </c>
      <c r="N68" s="900"/>
      <c r="O68" s="901"/>
      <c r="P68" s="875">
        <v>676</v>
      </c>
      <c r="Q68" s="875"/>
      <c r="R68" s="875"/>
      <c r="S68" s="875"/>
      <c r="T68" s="876">
        <v>147</v>
      </c>
      <c r="U68" s="876"/>
      <c r="V68" s="875">
        <v>821</v>
      </c>
      <c r="W68" s="875"/>
      <c r="X68" s="877"/>
      <c r="Y68" s="878"/>
      <c r="Z68" s="879"/>
    </row>
    <row r="69" spans="2:26" ht="12.75">
      <c r="B69" s="1724"/>
      <c r="C69" s="1725"/>
      <c r="D69" s="1677"/>
      <c r="E69" s="1679"/>
      <c r="F69" s="1677"/>
      <c r="G69" s="1679"/>
      <c r="H69" s="1682"/>
      <c r="I69" s="1665"/>
      <c r="J69" s="1729"/>
      <c r="K69" s="902"/>
      <c r="L69" s="902"/>
      <c r="M69" s="902">
        <v>223</v>
      </c>
      <c r="N69" s="902">
        <v>223</v>
      </c>
      <c r="O69" s="903"/>
      <c r="P69" s="883"/>
      <c r="Q69" s="883"/>
      <c r="R69" s="883"/>
      <c r="S69" s="883"/>
      <c r="T69" s="884"/>
      <c r="U69" s="884"/>
      <c r="V69" s="883"/>
      <c r="W69" s="883"/>
      <c r="X69" s="885"/>
      <c r="Y69" s="886"/>
      <c r="Z69" s="887"/>
    </row>
    <row r="70" spans="2:26" ht="13.5" thickBot="1">
      <c r="B70" s="1726"/>
      <c r="C70" s="1727"/>
      <c r="D70" s="1525"/>
      <c r="E70" s="1680"/>
      <c r="F70" s="1525"/>
      <c r="G70" s="1680"/>
      <c r="H70" s="1683"/>
      <c r="I70" s="1695"/>
      <c r="J70" s="1730"/>
      <c r="K70" s="927"/>
      <c r="L70" s="927"/>
      <c r="M70" s="927"/>
      <c r="N70" s="927"/>
      <c r="O70" s="889"/>
      <c r="P70" s="890">
        <v>364</v>
      </c>
      <c r="Q70" s="890"/>
      <c r="R70" s="890"/>
      <c r="S70" s="890"/>
      <c r="T70" s="891"/>
      <c r="U70" s="891"/>
      <c r="V70" s="890"/>
      <c r="W70" s="890"/>
      <c r="X70" s="892"/>
      <c r="Y70" s="893"/>
      <c r="Z70" s="894">
        <v>585</v>
      </c>
    </row>
    <row r="71" spans="2:26" ht="12.75">
      <c r="B71" s="1696" t="s">
        <v>241</v>
      </c>
      <c r="C71" s="1697"/>
      <c r="D71" s="1706">
        <v>90</v>
      </c>
      <c r="E71" s="1711">
        <f>D71/$D$89</f>
        <v>0.10830324909747292</v>
      </c>
      <c r="F71" s="1716">
        <f>COUNTA(K71:Z76)-1</f>
        <v>20</v>
      </c>
      <c r="G71" s="1719">
        <f>F71/D71</f>
        <v>0.2222222222222222</v>
      </c>
      <c r="H71" s="1681">
        <f>$K$5*COUNTA(K71:K76)+$L$5*COUNTA(L71:L76)+$N$5*COUNTA(N71:N76)+$O$5*COUNTA(O71:O76)+$P$5*COUNTA(P71:P76)+$Q$5*COUNTA(Q71:Q76)+$R$5*COUNTA(R71:R76)+$S$5*COUNTA(S71:S76)+$T$5*COUNTA(T71:T76)+$V$5*COUNTA(V71:V76)+$W$5*COUNTA(W71:W76)+$X$5*COUNTA(X71:X76)+$Y$5*COUNTA(Y71:Y76)+$Z$5*COUNTA(Z71:Z76)+$M$5*COUNTA(M71:M76)+$U$5*COUNTA(U71:U76)</f>
        <v>4899.439999999999</v>
      </c>
      <c r="I71" s="1684">
        <f>H71/H89</f>
        <v>0.12324984088890899</v>
      </c>
      <c r="J71" s="1666">
        <f>H71/F71</f>
        <v>244.97199999999992</v>
      </c>
      <c r="K71" s="895">
        <v>621</v>
      </c>
      <c r="L71" s="895">
        <v>294</v>
      </c>
      <c r="M71" s="895">
        <v>886</v>
      </c>
      <c r="N71" s="895"/>
      <c r="O71" s="896"/>
      <c r="P71" s="867">
        <v>193</v>
      </c>
      <c r="Q71" s="867">
        <v>1582</v>
      </c>
      <c r="R71" s="867"/>
      <c r="S71" s="867"/>
      <c r="T71" s="868"/>
      <c r="U71" s="868"/>
      <c r="V71" s="867">
        <v>818</v>
      </c>
      <c r="W71" s="867">
        <v>649</v>
      </c>
      <c r="X71" s="869"/>
      <c r="Y71" s="870"/>
      <c r="Z71" s="871"/>
    </row>
    <row r="72" spans="2:26" ht="12.75">
      <c r="B72" s="1698"/>
      <c r="C72" s="1699"/>
      <c r="D72" s="1707"/>
      <c r="E72" s="1712"/>
      <c r="F72" s="1717"/>
      <c r="G72" s="1720"/>
      <c r="H72" s="1682"/>
      <c r="I72" s="1685"/>
      <c r="J72" s="1667"/>
      <c r="K72" s="900">
        <v>818</v>
      </c>
      <c r="L72" s="900"/>
      <c r="M72" s="900">
        <v>593</v>
      </c>
      <c r="N72" s="900"/>
      <c r="O72" s="901"/>
      <c r="P72" s="875">
        <v>1541</v>
      </c>
      <c r="Q72" s="875"/>
      <c r="R72" s="875"/>
      <c r="S72" s="875"/>
      <c r="T72" s="876">
        <v>753</v>
      </c>
      <c r="U72" s="876"/>
      <c r="V72" s="875">
        <v>112</v>
      </c>
      <c r="W72" s="875"/>
      <c r="X72" s="877"/>
      <c r="Y72" s="878"/>
      <c r="Z72" s="879"/>
    </row>
    <row r="73" spans="2:26" ht="12.75">
      <c r="B73" s="1700"/>
      <c r="C73" s="1701"/>
      <c r="D73" s="1708"/>
      <c r="E73" s="1713"/>
      <c r="F73" s="1717"/>
      <c r="G73" s="1720"/>
      <c r="H73" s="1682"/>
      <c r="I73" s="1685"/>
      <c r="J73" s="1667"/>
      <c r="K73" s="900"/>
      <c r="L73" s="900"/>
      <c r="M73" s="900">
        <v>195</v>
      </c>
      <c r="N73" s="900"/>
      <c r="O73" s="901"/>
      <c r="P73" s="875">
        <v>72</v>
      </c>
      <c r="Q73" s="875"/>
      <c r="R73" s="875"/>
      <c r="S73" s="875"/>
      <c r="T73" s="876">
        <v>798</v>
      </c>
      <c r="U73" s="876"/>
      <c r="V73" s="875"/>
      <c r="W73" s="875"/>
      <c r="X73" s="877"/>
      <c r="Y73" s="878"/>
      <c r="Z73" s="879">
        <v>574</v>
      </c>
    </row>
    <row r="74" spans="2:26" ht="12.75">
      <c r="B74" s="1702"/>
      <c r="C74" s="1703"/>
      <c r="D74" s="1709"/>
      <c r="E74" s="1714"/>
      <c r="F74" s="1717"/>
      <c r="G74" s="1720"/>
      <c r="H74" s="1682"/>
      <c r="I74" s="1685"/>
      <c r="J74" s="1667"/>
      <c r="K74" s="902"/>
      <c r="L74" s="902"/>
      <c r="M74" s="902"/>
      <c r="N74" s="902"/>
      <c r="O74" s="903"/>
      <c r="P74" s="883">
        <v>256</v>
      </c>
      <c r="Q74" s="883"/>
      <c r="R74" s="883"/>
      <c r="S74" s="883"/>
      <c r="T74" s="884"/>
      <c r="U74" s="884"/>
      <c r="V74" s="883"/>
      <c r="W74" s="883"/>
      <c r="X74" s="885"/>
      <c r="Y74" s="886"/>
      <c r="Z74" s="887">
        <v>235</v>
      </c>
    </row>
    <row r="75" spans="2:26" ht="12.75">
      <c r="B75" s="1702"/>
      <c r="C75" s="1703"/>
      <c r="D75" s="1709"/>
      <c r="E75" s="1714"/>
      <c r="F75" s="1717"/>
      <c r="G75" s="1720"/>
      <c r="H75" s="1682"/>
      <c r="I75" s="1685"/>
      <c r="J75" s="1667"/>
      <c r="K75" s="902"/>
      <c r="L75" s="902"/>
      <c r="M75" s="902"/>
      <c r="N75" s="902"/>
      <c r="O75" s="903"/>
      <c r="P75" s="883">
        <v>479</v>
      </c>
      <c r="Q75" s="883"/>
      <c r="R75" s="883"/>
      <c r="S75" s="883"/>
      <c r="T75" s="884"/>
      <c r="U75" s="884"/>
      <c r="V75" s="883"/>
      <c r="W75" s="883"/>
      <c r="X75" s="885"/>
      <c r="Y75" s="886"/>
      <c r="Z75" s="887"/>
    </row>
    <row r="76" spans="2:26" ht="13.5" thickBot="1">
      <c r="B76" s="1704"/>
      <c r="C76" s="1705"/>
      <c r="D76" s="1710"/>
      <c r="E76" s="1715"/>
      <c r="F76" s="1718"/>
      <c r="G76" s="1721"/>
      <c r="H76" s="1683"/>
      <c r="I76" s="1686"/>
      <c r="J76" s="1668"/>
      <c r="K76" s="888"/>
      <c r="L76" s="888"/>
      <c r="M76" s="888"/>
      <c r="N76" s="888"/>
      <c r="O76" s="889"/>
      <c r="P76" s="890">
        <v>592</v>
      </c>
      <c r="Q76" s="890"/>
      <c r="R76" s="890"/>
      <c r="S76" s="890"/>
      <c r="T76" s="891"/>
      <c r="U76" s="891"/>
      <c r="V76" s="890"/>
      <c r="W76" s="890"/>
      <c r="X76" s="892"/>
      <c r="Y76" s="893">
        <v>634</v>
      </c>
      <c r="Z76" s="894"/>
    </row>
    <row r="77" spans="2:26" ht="12.75">
      <c r="B77" s="1687" t="s">
        <v>243</v>
      </c>
      <c r="C77" s="1688"/>
      <c r="D77" s="1691">
        <v>48</v>
      </c>
      <c r="E77" s="1693">
        <f>D77/$D$89</f>
        <v>0.05776173285198556</v>
      </c>
      <c r="F77" s="1524">
        <f>COUNTA(K77:Z83)-5</f>
        <v>11</v>
      </c>
      <c r="G77" s="1678">
        <f>F77/D77</f>
        <v>0.22916666666666666</v>
      </c>
      <c r="H77" s="1681">
        <f>$K$5*COUNTA(K77:K83)+$L$5*COUNTA(L77:L83)+$N$5*COUNTA(N77:N83)+$O$5*COUNTA(O77:O83)+$P$5*COUNTA(P77:P83)+$Q$5*COUNTA(Q77:Q83)+$R$5*COUNTA(R77:R83)+$S$5*COUNTA(S77:S83)+$T$5*COUNTA(T77:T83)+$V$5*COUNTA(V77:V83)+$W$5*COUNTA(W77:W83)+$X$5*COUNTA(X77:X83)+$Y$5*COUNTA(Y77:Y83)+$Z$5*COUNTA(Z77:Z83)+$M$5*COUNTA(M77:M83)+$M$5*COUNTA(U77:U83)</f>
        <v>2442.69</v>
      </c>
      <c r="I77" s="1664">
        <f>H77/H89</f>
        <v>0.061448074441350274</v>
      </c>
      <c r="J77" s="1666">
        <f>H77/F77</f>
        <v>222.06272727272727</v>
      </c>
      <c r="K77" s="895"/>
      <c r="L77" s="895"/>
      <c r="M77" s="895">
        <v>168</v>
      </c>
      <c r="N77" s="895"/>
      <c r="O77" s="896">
        <v>168</v>
      </c>
      <c r="P77" s="867">
        <v>165</v>
      </c>
      <c r="Q77" s="867"/>
      <c r="R77" s="867"/>
      <c r="S77" s="867">
        <v>301</v>
      </c>
      <c r="T77" s="868"/>
      <c r="U77" s="868"/>
      <c r="V77" s="867"/>
      <c r="W77" s="867">
        <v>186</v>
      </c>
      <c r="X77" s="869"/>
      <c r="Y77" s="870"/>
      <c r="Z77" s="871"/>
    </row>
    <row r="78" spans="2:26" ht="12.75">
      <c r="B78" s="1687"/>
      <c r="C78" s="1688"/>
      <c r="D78" s="1691"/>
      <c r="E78" s="1693"/>
      <c r="F78" s="1677"/>
      <c r="G78" s="1679"/>
      <c r="H78" s="1682"/>
      <c r="I78" s="1665"/>
      <c r="J78" s="1667"/>
      <c r="K78" s="900"/>
      <c r="L78" s="900"/>
      <c r="M78" s="900">
        <v>578</v>
      </c>
      <c r="N78" s="900"/>
      <c r="O78" s="901">
        <v>578</v>
      </c>
      <c r="P78" s="875">
        <v>896</v>
      </c>
      <c r="Q78" s="875"/>
      <c r="R78" s="875"/>
      <c r="S78" s="875"/>
      <c r="T78" s="876"/>
      <c r="U78" s="876"/>
      <c r="V78" s="875"/>
      <c r="W78" s="875">
        <v>394</v>
      </c>
      <c r="X78" s="877"/>
      <c r="Y78" s="878"/>
      <c r="Z78" s="879"/>
    </row>
    <row r="79" spans="2:26" ht="12.75">
      <c r="B79" s="1687"/>
      <c r="C79" s="1688"/>
      <c r="D79" s="1691"/>
      <c r="E79" s="1693"/>
      <c r="F79" s="1677"/>
      <c r="G79" s="1679"/>
      <c r="H79" s="1682"/>
      <c r="I79" s="1665"/>
      <c r="J79" s="1667"/>
      <c r="K79" s="902"/>
      <c r="L79" s="902"/>
      <c r="M79" s="902">
        <v>895</v>
      </c>
      <c r="N79" s="902"/>
      <c r="O79" s="903">
        <v>895</v>
      </c>
      <c r="P79" s="883"/>
      <c r="Q79" s="883"/>
      <c r="R79" s="883"/>
      <c r="S79" s="883"/>
      <c r="T79" s="884"/>
      <c r="U79" s="884"/>
      <c r="V79" s="883"/>
      <c r="W79" s="883"/>
      <c r="X79" s="885"/>
      <c r="Y79" s="886"/>
      <c r="Z79" s="887"/>
    </row>
    <row r="80" spans="2:26" ht="12.75">
      <c r="B80" s="1687"/>
      <c r="C80" s="1688"/>
      <c r="D80" s="1691"/>
      <c r="E80" s="1693"/>
      <c r="F80" s="1677"/>
      <c r="G80" s="1679"/>
      <c r="H80" s="1682"/>
      <c r="I80" s="1665"/>
      <c r="J80" s="1667"/>
      <c r="K80" s="902"/>
      <c r="L80" s="902"/>
      <c r="M80" s="902">
        <v>1554</v>
      </c>
      <c r="N80" s="902">
        <v>1554</v>
      </c>
      <c r="O80" s="903"/>
      <c r="P80" s="883"/>
      <c r="Q80" s="883"/>
      <c r="R80" s="883"/>
      <c r="S80" s="883"/>
      <c r="T80" s="884"/>
      <c r="U80" s="884"/>
      <c r="V80" s="883"/>
      <c r="W80" s="883"/>
      <c r="X80" s="885"/>
      <c r="Y80" s="886"/>
      <c r="Z80" s="887"/>
    </row>
    <row r="81" spans="2:26" ht="13.5">
      <c r="B81" s="1687"/>
      <c r="C81" s="1688"/>
      <c r="D81" s="1691"/>
      <c r="E81" s="1693"/>
      <c r="F81" s="1677"/>
      <c r="G81" s="1679"/>
      <c r="H81" s="1682"/>
      <c r="I81" s="1665"/>
      <c r="J81" s="1667"/>
      <c r="K81" s="902"/>
      <c r="L81" s="902"/>
      <c r="M81" s="902">
        <v>842</v>
      </c>
      <c r="N81" s="902">
        <v>842</v>
      </c>
      <c r="O81" s="903"/>
      <c r="P81" s="883"/>
      <c r="Q81" s="883"/>
      <c r="R81" s="883"/>
      <c r="S81" s="883"/>
      <c r="T81" s="884"/>
      <c r="U81" s="884"/>
      <c r="V81" s="883"/>
      <c r="W81" s="883"/>
      <c r="X81" s="885"/>
      <c r="Y81" s="886"/>
      <c r="Z81" s="887"/>
    </row>
    <row r="82" spans="2:26" ht="13.5">
      <c r="B82" s="1687"/>
      <c r="C82" s="1688"/>
      <c r="D82" s="1691"/>
      <c r="E82" s="1693"/>
      <c r="F82" s="1677"/>
      <c r="G82" s="1679"/>
      <c r="H82" s="1682"/>
      <c r="I82" s="1665"/>
      <c r="J82" s="1667"/>
      <c r="K82" s="902"/>
      <c r="L82" s="902"/>
      <c r="M82" s="902">
        <v>959</v>
      </c>
      <c r="N82" s="902"/>
      <c r="O82" s="903"/>
      <c r="P82" s="883"/>
      <c r="Q82" s="883"/>
      <c r="R82" s="883"/>
      <c r="S82" s="883"/>
      <c r="T82" s="884"/>
      <c r="U82" s="884"/>
      <c r="V82" s="883"/>
      <c r="W82" s="883"/>
      <c r="X82" s="885"/>
      <c r="Y82" s="886"/>
      <c r="Z82" s="887"/>
    </row>
    <row r="83" spans="2:26" ht="15" thickBot="1">
      <c r="B83" s="1689"/>
      <c r="C83" s="1690"/>
      <c r="D83" s="1692"/>
      <c r="E83" s="1694"/>
      <c r="F83" s="1525"/>
      <c r="G83" s="1680"/>
      <c r="H83" s="1683"/>
      <c r="I83" s="1695"/>
      <c r="J83" s="1668"/>
      <c r="K83" s="888"/>
      <c r="L83" s="888"/>
      <c r="M83" s="888"/>
      <c r="N83" s="888"/>
      <c r="O83" s="889"/>
      <c r="P83" s="890"/>
      <c r="Q83" s="890"/>
      <c r="R83" s="890"/>
      <c r="S83" s="890"/>
      <c r="T83" s="891"/>
      <c r="U83" s="891"/>
      <c r="V83" s="890"/>
      <c r="W83" s="890"/>
      <c r="X83" s="892"/>
      <c r="Y83" s="893"/>
      <c r="Z83" s="894"/>
    </row>
    <row r="84" spans="2:26" ht="15" thickBot="1">
      <c r="B84" s="1673" t="s">
        <v>269</v>
      </c>
      <c r="C84" s="1674"/>
      <c r="D84" s="1675">
        <v>42</v>
      </c>
      <c r="E84" s="1676">
        <f>D84/$D$89</f>
        <v>0.05054151624548736</v>
      </c>
      <c r="F84" s="1524">
        <f>COUNTA(K84:Z87)</f>
        <v>4</v>
      </c>
      <c r="G84" s="1678">
        <f>F84/D84</f>
        <v>0.09523809523809523</v>
      </c>
      <c r="H84" s="1681">
        <f>$K$5*COUNTA(K84:K87)+$L$5*COUNTA(L84:L87)+$N$5*COUNTA(N84:N87)+$O$5*COUNTA(O84:O87)+$P$5*COUNTA(P84:P87)+$Q$5*COUNTA(Q84:Q87)+$R$5*COUNTA(R84:R87)+$S$5*COUNTA(S84:S87)+$T$5*COUNTA(T84:T87)+$V$5*COUNTA(V84:V87)+$W$5*COUNTA(W84:W87)+$X$5*COUNTA(X84:X87)+$Y$5*COUNTA(Y84:Y87)+$Z$5*COUNTA(Z84:Z87)+$M$5*COUNTA(M84:M87)+$U$5*COUNTA(U84:U87)</f>
        <v>980.1500000000001</v>
      </c>
      <c r="I84" s="1664">
        <f>H84/H89</f>
        <v>0.02465655902455468</v>
      </c>
      <c r="J84" s="1666">
        <f>H84/F84</f>
        <v>245.03750000000002</v>
      </c>
      <c r="K84" s="895"/>
      <c r="L84" s="895"/>
      <c r="M84" s="895"/>
      <c r="N84" s="895"/>
      <c r="O84" s="896"/>
      <c r="P84" s="867"/>
      <c r="Q84" s="867"/>
      <c r="R84" s="867"/>
      <c r="S84" s="867"/>
      <c r="T84" s="868"/>
      <c r="U84" s="868"/>
      <c r="V84" s="867"/>
      <c r="W84" s="867">
        <v>114</v>
      </c>
      <c r="X84" s="869"/>
      <c r="Y84" s="870"/>
      <c r="Z84" s="871"/>
    </row>
    <row r="85" spans="2:26" ht="15" thickBot="1">
      <c r="B85" s="1673"/>
      <c r="C85" s="1674"/>
      <c r="D85" s="1675"/>
      <c r="E85" s="1676"/>
      <c r="F85" s="1677"/>
      <c r="G85" s="1679"/>
      <c r="H85" s="1682"/>
      <c r="I85" s="1665"/>
      <c r="J85" s="1667"/>
      <c r="K85" s="900"/>
      <c r="L85" s="900"/>
      <c r="M85" s="900"/>
      <c r="N85" s="900"/>
      <c r="O85" s="901"/>
      <c r="P85" s="875">
        <v>262</v>
      </c>
      <c r="Q85" s="875"/>
      <c r="R85" s="875"/>
      <c r="S85" s="875"/>
      <c r="T85" s="876"/>
      <c r="U85" s="876"/>
      <c r="V85" s="875"/>
      <c r="W85" s="875"/>
      <c r="X85" s="877"/>
      <c r="Y85" s="878"/>
      <c r="Z85" s="879"/>
    </row>
    <row r="86" spans="2:26" ht="15" thickBot="1">
      <c r="B86" s="1673"/>
      <c r="C86" s="1674"/>
      <c r="D86" s="1675"/>
      <c r="E86" s="1676"/>
      <c r="F86" s="1677"/>
      <c r="G86" s="1679"/>
      <c r="H86" s="1682"/>
      <c r="I86" s="1665"/>
      <c r="J86" s="1667"/>
      <c r="K86" s="902"/>
      <c r="L86" s="902">
        <v>200</v>
      </c>
      <c r="M86" s="902"/>
      <c r="N86" s="902"/>
      <c r="O86" s="903"/>
      <c r="P86" s="883"/>
      <c r="Q86" s="883"/>
      <c r="R86" s="883">
        <v>1623</v>
      </c>
      <c r="S86" s="883"/>
      <c r="T86" s="884"/>
      <c r="U86" s="884"/>
      <c r="V86" s="883"/>
      <c r="W86" s="883"/>
      <c r="X86" s="885"/>
      <c r="Y86" s="886"/>
      <c r="Z86" s="887"/>
    </row>
    <row r="87" spans="2:26" ht="15" thickBot="1">
      <c r="B87" s="1673"/>
      <c r="C87" s="1674"/>
      <c r="D87" s="1675"/>
      <c r="E87" s="1676"/>
      <c r="F87" s="1525"/>
      <c r="G87" s="1680"/>
      <c r="H87" s="1683"/>
      <c r="I87" s="1665"/>
      <c r="J87" s="1668"/>
      <c r="K87" s="888"/>
      <c r="L87" s="888"/>
      <c r="M87" s="888"/>
      <c r="N87" s="888"/>
      <c r="O87" s="889"/>
      <c r="P87" s="890"/>
      <c r="Q87" s="890"/>
      <c r="R87" s="890"/>
      <c r="S87" s="890"/>
      <c r="T87" s="891"/>
      <c r="U87" s="891"/>
      <c r="V87" s="890"/>
      <c r="W87" s="890"/>
      <c r="X87" s="892"/>
      <c r="Y87" s="893"/>
      <c r="Z87" s="894"/>
    </row>
    <row r="88" spans="2:26" ht="19.5" thickBot="1">
      <c r="B88" s="1669" t="s">
        <v>45</v>
      </c>
      <c r="C88" s="1670"/>
      <c r="D88" s="928"/>
      <c r="E88" s="929"/>
      <c r="F88" s="928"/>
      <c r="G88" s="929"/>
      <c r="H88" s="930"/>
      <c r="I88" s="931"/>
      <c r="J88" s="932"/>
      <c r="K88" s="933">
        <f aca="true" t="shared" si="0" ref="K88:T88">COUNTA(K6:K87)</f>
        <v>6</v>
      </c>
      <c r="L88" s="933">
        <f t="shared" si="0"/>
        <v>23</v>
      </c>
      <c r="M88" s="933">
        <f t="shared" si="0"/>
        <v>35</v>
      </c>
      <c r="N88" s="933">
        <f t="shared" si="0"/>
        <v>22</v>
      </c>
      <c r="O88" s="933">
        <f t="shared" si="0"/>
        <v>18</v>
      </c>
      <c r="P88" s="934">
        <f t="shared" si="0"/>
        <v>30</v>
      </c>
      <c r="Q88" s="935">
        <f t="shared" si="0"/>
        <v>2</v>
      </c>
      <c r="R88" s="934">
        <f t="shared" si="0"/>
        <v>6</v>
      </c>
      <c r="S88" s="934">
        <f t="shared" si="0"/>
        <v>12</v>
      </c>
      <c r="T88" s="936">
        <f t="shared" si="0"/>
        <v>8</v>
      </c>
      <c r="U88" s="937"/>
      <c r="V88" s="934">
        <f>COUNTA(V6:V87)</f>
        <v>21</v>
      </c>
      <c r="W88" s="936">
        <f>COUNTA(W6:W87)</f>
        <v>7</v>
      </c>
      <c r="X88" s="938">
        <f>COUNTA(X6:X87)</f>
        <v>5</v>
      </c>
      <c r="Y88" s="939">
        <f>COUNTA(Y6:Y87)</f>
        <v>4</v>
      </c>
      <c r="Z88" s="940">
        <f>COUNTA(Z6:Z87)</f>
        <v>10</v>
      </c>
    </row>
    <row r="89" spans="2:26" ht="18" thickBot="1" thickTop="1">
      <c r="B89" s="1395" t="s">
        <v>161</v>
      </c>
      <c r="C89" s="1396"/>
      <c r="D89" s="565">
        <f>SUM(D6:D87)</f>
        <v>831</v>
      </c>
      <c r="E89" s="941"/>
      <c r="F89" s="565">
        <f>SUM(F6:F87)</f>
        <v>169</v>
      </c>
      <c r="G89" s="942">
        <f>F89/D89</f>
        <v>0.20336943441636582</v>
      </c>
      <c r="H89" s="836">
        <f>SUM(H6:H87)</f>
        <v>39752.1</v>
      </c>
      <c r="I89" s="569"/>
      <c r="J89" s="835">
        <f>SUM(J6:J87)/22</f>
        <v>129.80289007216592</v>
      </c>
      <c r="K89" s="835">
        <f aca="true" t="shared" si="1" ref="K89:T89">K5*K88</f>
        <v>516</v>
      </c>
      <c r="L89" s="835">
        <f t="shared" si="1"/>
        <v>3617.9</v>
      </c>
      <c r="M89" s="835">
        <f t="shared" si="1"/>
        <v>5155.5</v>
      </c>
      <c r="N89" s="835">
        <f t="shared" si="1"/>
        <v>2349.6</v>
      </c>
      <c r="O89" s="835">
        <f t="shared" si="1"/>
        <v>1922.3999999999999</v>
      </c>
      <c r="P89" s="835">
        <f t="shared" si="1"/>
        <v>7002.599999999999</v>
      </c>
      <c r="Q89" s="835">
        <f t="shared" si="1"/>
        <v>1847</v>
      </c>
      <c r="R89" s="835">
        <f t="shared" si="1"/>
        <v>2336.94</v>
      </c>
      <c r="S89" s="835">
        <f t="shared" si="1"/>
        <v>1898.04</v>
      </c>
      <c r="T89" s="836">
        <f t="shared" si="1"/>
        <v>854.4</v>
      </c>
      <c r="U89" s="835"/>
      <c r="V89" s="835">
        <f>V5*V88</f>
        <v>5152.14</v>
      </c>
      <c r="W89" s="835">
        <f>W5*W88</f>
        <v>1399.58</v>
      </c>
      <c r="X89" s="835">
        <f>X5*X88</f>
        <v>1500</v>
      </c>
      <c r="Y89" s="835">
        <f>Y5*Y88</f>
        <v>1200</v>
      </c>
      <c r="Z89" s="835">
        <f>Z5*Z88</f>
        <v>3000</v>
      </c>
    </row>
    <row r="90" spans="2:26" ht="15.75" thickBot="1" thickTop="1">
      <c r="B90" s="943"/>
      <c r="C90" s="943"/>
      <c r="D90" s="943"/>
      <c r="E90" s="943"/>
      <c r="F90" s="943"/>
      <c r="G90" s="944"/>
      <c r="H90" s="943"/>
      <c r="I90" s="944"/>
      <c r="J90" s="944"/>
      <c r="K90" s="944"/>
      <c r="L90" s="944"/>
      <c r="M90" s="944"/>
      <c r="N90" s="943"/>
      <c r="O90" s="943"/>
      <c r="P90" s="943"/>
      <c r="Q90" s="943"/>
      <c r="R90" s="943"/>
      <c r="S90" s="943"/>
      <c r="T90" s="943"/>
      <c r="U90" s="943"/>
      <c r="V90" s="943"/>
      <c r="W90" s="943"/>
      <c r="X90" s="943"/>
      <c r="Y90" s="943"/>
      <c r="Z90" s="943"/>
    </row>
    <row r="91" spans="2:26" ht="22.5" thickBot="1" thickTop="1">
      <c r="B91" s="1671" t="s">
        <v>58</v>
      </c>
      <c r="C91" s="1672"/>
      <c r="D91" s="1672"/>
      <c r="E91" s="1672"/>
      <c r="F91" s="1672"/>
      <c r="G91" s="1672"/>
      <c r="H91" s="1672"/>
      <c r="I91" s="1672"/>
      <c r="J91" s="1672"/>
      <c r="K91" s="1672"/>
      <c r="L91" s="1672"/>
      <c r="M91" s="1672"/>
      <c r="N91" s="1672"/>
      <c r="O91" s="945">
        <f>F89</f>
        <v>169</v>
      </c>
      <c r="P91" s="576"/>
      <c r="Q91" s="576"/>
      <c r="R91" s="576"/>
      <c r="S91" s="576"/>
      <c r="T91" s="576"/>
      <c r="U91" s="576"/>
      <c r="V91" s="576"/>
      <c r="W91" s="576"/>
      <c r="X91" s="576"/>
      <c r="Y91" s="576"/>
      <c r="Z91" s="576"/>
    </row>
    <row r="92" ht="13.5" thickTop="1"/>
    <row r="94" ht="12.75">
      <c r="B94" s="707"/>
    </row>
    <row r="95" ht="12.75">
      <c r="B95" s="707"/>
    </row>
    <row r="96" ht="12.75">
      <c r="B96" s="707"/>
    </row>
  </sheetData>
  <sheetProtection/>
  <mergeCells count="123">
    <mergeCell ref="B2:C3"/>
    <mergeCell ref="D2:D3"/>
    <mergeCell ref="E2:E3"/>
    <mergeCell ref="F2:F3"/>
    <mergeCell ref="G2:G3"/>
    <mergeCell ref="H2:H3"/>
    <mergeCell ref="I2:I3"/>
    <mergeCell ref="J2:J3"/>
    <mergeCell ref="K2:O2"/>
    <mergeCell ref="V2:V3"/>
    <mergeCell ref="W2:W3"/>
    <mergeCell ref="X2:X3"/>
    <mergeCell ref="Y2:Y3"/>
    <mergeCell ref="Z2:Z3"/>
    <mergeCell ref="B4:C4"/>
    <mergeCell ref="B5:C5"/>
    <mergeCell ref="B6:C14"/>
    <mergeCell ref="D6:D14"/>
    <mergeCell ref="E6:E14"/>
    <mergeCell ref="F6:F14"/>
    <mergeCell ref="G6:G14"/>
    <mergeCell ref="H6:H14"/>
    <mergeCell ref="I6:I14"/>
    <mergeCell ref="J6:J14"/>
    <mergeCell ref="B15:C18"/>
    <mergeCell ref="D15:D18"/>
    <mergeCell ref="E15:E18"/>
    <mergeCell ref="F15:F18"/>
    <mergeCell ref="G15:G18"/>
    <mergeCell ref="H15:H18"/>
    <mergeCell ref="I15:I18"/>
    <mergeCell ref="J15:J18"/>
    <mergeCell ref="B19:C22"/>
    <mergeCell ref="D19:D22"/>
    <mergeCell ref="E19:E22"/>
    <mergeCell ref="F19:F22"/>
    <mergeCell ref="G19:G22"/>
    <mergeCell ref="H19:H22"/>
    <mergeCell ref="I19:I22"/>
    <mergeCell ref="J19:J22"/>
    <mergeCell ref="B23:C25"/>
    <mergeCell ref="D23:D25"/>
    <mergeCell ref="E23:E25"/>
    <mergeCell ref="F23:F25"/>
    <mergeCell ref="G23:G25"/>
    <mergeCell ref="H23:H25"/>
    <mergeCell ref="I23:I25"/>
    <mergeCell ref="J23:J25"/>
    <mergeCell ref="B26:C30"/>
    <mergeCell ref="D26:D30"/>
    <mergeCell ref="E26:E30"/>
    <mergeCell ref="F26:F30"/>
    <mergeCell ref="G26:G30"/>
    <mergeCell ref="H26:H30"/>
    <mergeCell ref="I26:I30"/>
    <mergeCell ref="J26:J30"/>
    <mergeCell ref="B31:C37"/>
    <mergeCell ref="D31:D37"/>
    <mergeCell ref="E31:E37"/>
    <mergeCell ref="F31:F37"/>
    <mergeCell ref="G31:G37"/>
    <mergeCell ref="H31:H37"/>
    <mergeCell ref="I31:I37"/>
    <mergeCell ref="J31:J37"/>
    <mergeCell ref="B38:C47"/>
    <mergeCell ref="D38:D47"/>
    <mergeCell ref="E38:E47"/>
    <mergeCell ref="F38:F47"/>
    <mergeCell ref="G38:G47"/>
    <mergeCell ref="H38:H47"/>
    <mergeCell ref="I38:I47"/>
    <mergeCell ref="J38:J47"/>
    <mergeCell ref="B48:C57"/>
    <mergeCell ref="D48:D57"/>
    <mergeCell ref="E48:E57"/>
    <mergeCell ref="F48:F57"/>
    <mergeCell ref="G48:G57"/>
    <mergeCell ref="H48:H57"/>
    <mergeCell ref="I48:I57"/>
    <mergeCell ref="J48:J57"/>
    <mergeCell ref="B58:C66"/>
    <mergeCell ref="D58:D66"/>
    <mergeCell ref="E58:E66"/>
    <mergeCell ref="F58:F66"/>
    <mergeCell ref="G58:G66"/>
    <mergeCell ref="H58:H66"/>
    <mergeCell ref="I58:I66"/>
    <mergeCell ref="J58:J66"/>
    <mergeCell ref="B67:C70"/>
    <mergeCell ref="D67:D70"/>
    <mergeCell ref="E67:E70"/>
    <mergeCell ref="F67:F70"/>
    <mergeCell ref="G67:G70"/>
    <mergeCell ref="H67:H70"/>
    <mergeCell ref="I67:I70"/>
    <mergeCell ref="J67:J70"/>
    <mergeCell ref="J77:J83"/>
    <mergeCell ref="B71:C76"/>
    <mergeCell ref="D71:D76"/>
    <mergeCell ref="E71:E76"/>
    <mergeCell ref="F71:F76"/>
    <mergeCell ref="G71:G76"/>
    <mergeCell ref="H71:H76"/>
    <mergeCell ref="H84:H87"/>
    <mergeCell ref="I71:I76"/>
    <mergeCell ref="J71:J76"/>
    <mergeCell ref="B77:C83"/>
    <mergeCell ref="D77:D83"/>
    <mergeCell ref="E77:E83"/>
    <mergeCell ref="F77:F83"/>
    <mergeCell ref="G77:G83"/>
    <mergeCell ref="H77:H83"/>
    <mergeCell ref="I77:I83"/>
    <mergeCell ref="I84:I87"/>
    <mergeCell ref="J84:J87"/>
    <mergeCell ref="B88:C88"/>
    <mergeCell ref="B89:C89"/>
    <mergeCell ref="B91:N91"/>
    <mergeCell ref="B84:C87"/>
    <mergeCell ref="D84:D87"/>
    <mergeCell ref="E84:E87"/>
    <mergeCell ref="F84:F87"/>
    <mergeCell ref="G84:G87"/>
  </mergeCells>
  <conditionalFormatting sqref="G6:G87">
    <cfRule type="cellIs" priority="1" dxfId="2" operator="greaterThan">
      <formula>"&gt;0,25"</formula>
    </cfRule>
    <cfRule type="cellIs" priority="2" dxfId="1" operator="greaterThan">
      <formula>25</formula>
    </cfRule>
    <cfRule type="cellIs" priority="3" dxfId="1" operator="greaterThan">
      <formula>25</formula>
    </cfRule>
  </conditionalFormatting>
  <conditionalFormatting sqref="J6:J87">
    <cfRule type="cellIs" priority="4" dxfId="0" operator="lessThan">
      <formula>$J$89</formula>
    </cfRule>
  </conditionalFormatting>
  <printOptions/>
  <pageMargins left="0.7" right="0.7" top="0.75" bottom="0.75" header="0.3" footer="0.3"/>
  <pageSetup orientation="portrait" paperSize="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AE96"/>
  <sheetViews>
    <sheetView showGridLines="0" zoomScale="110" zoomScaleNormal="110" zoomScalePageLayoutView="0" workbookViewId="0" topLeftCell="B1">
      <pane xSplit="10" ySplit="5" topLeftCell="N7" activePane="bottomRight" state="frozen"/>
      <selection pane="topLeft" activeCell="B1" sqref="B1"/>
      <selection pane="topRight" activeCell="K1" sqref="K1"/>
      <selection pane="bottomLeft" activeCell="B6" sqref="B6"/>
      <selection pane="bottomRight" activeCell="T21" sqref="T21"/>
    </sheetView>
  </sheetViews>
  <sheetFormatPr defaultColWidth="11.421875" defaultRowHeight="12.75"/>
  <cols>
    <col min="1" max="2" width="2.421875" style="709" customWidth="1"/>
    <col min="3" max="3" width="12.7109375" style="709" customWidth="1"/>
    <col min="4" max="4" width="10.00390625" style="709" customWidth="1"/>
    <col min="5" max="5" width="9.28125" style="829" customWidth="1"/>
    <col min="6" max="6" width="10.421875" style="829" bestFit="1" customWidth="1"/>
    <col min="7" max="7" width="7.8515625" style="829" bestFit="1" customWidth="1"/>
    <col min="8" max="8" width="11.8515625" style="830" bestFit="1" customWidth="1"/>
    <col min="9" max="9" width="11.00390625" style="829" customWidth="1"/>
    <col min="10" max="10" width="10.28125" style="830" bestFit="1" customWidth="1"/>
    <col min="11" max="11" width="10.8515625" style="830" customWidth="1"/>
    <col min="12" max="12" width="9.00390625" style="830" customWidth="1"/>
    <col min="13" max="13" width="10.28125" style="830" customWidth="1"/>
    <col min="14" max="14" width="11.421875" style="830" customWidth="1"/>
    <col min="15" max="15" width="11.140625" style="714" bestFit="1" customWidth="1"/>
    <col min="16" max="16" width="11.00390625" style="714" bestFit="1" customWidth="1"/>
    <col min="17" max="17" width="13.7109375" style="714" bestFit="1" customWidth="1"/>
    <col min="18" max="18" width="12.421875" style="714" bestFit="1" customWidth="1"/>
    <col min="19" max="19" width="11.28125" style="714" customWidth="1"/>
    <col min="20" max="20" width="12.00390625" style="714" bestFit="1" customWidth="1"/>
    <col min="21" max="23" width="11.28125" style="714" customWidth="1"/>
    <col min="24" max="24" width="11.140625" style="714" bestFit="1" customWidth="1"/>
    <col min="25" max="25" width="9.421875" style="714" bestFit="1" customWidth="1"/>
    <col min="26" max="27" width="9.421875" style="714" customWidth="1"/>
    <col min="28" max="28" width="10.28125" style="714" bestFit="1" customWidth="1"/>
    <col min="29" max="29" width="9.28125" style="714" bestFit="1" customWidth="1"/>
    <col min="30" max="30" width="6.28125" style="709" customWidth="1"/>
    <col min="31" max="31" width="31.8515625" style="709" bestFit="1" customWidth="1"/>
    <col min="32" max="16384" width="10.8515625" style="709" customWidth="1"/>
  </cols>
  <sheetData>
    <row r="1" spans="3:14" ht="16.5" thickBot="1">
      <c r="C1" s="951"/>
      <c r="D1" s="951"/>
      <c r="E1" s="952"/>
      <c r="F1" s="952"/>
      <c r="G1" s="951"/>
      <c r="H1" s="953"/>
      <c r="I1" s="952"/>
      <c r="J1" s="953"/>
      <c r="K1" s="954"/>
      <c r="L1" s="955"/>
      <c r="M1" s="954"/>
      <c r="N1" s="954"/>
    </row>
    <row r="2" spans="3:29" ht="64.5" thickBot="1">
      <c r="C2" s="1658" t="s">
        <v>218</v>
      </c>
      <c r="D2" s="1659"/>
      <c r="E2" s="1662" t="s">
        <v>282</v>
      </c>
      <c r="F2" s="1650" t="s">
        <v>220</v>
      </c>
      <c r="G2" s="1662" t="s">
        <v>121</v>
      </c>
      <c r="H2" s="1650" t="s">
        <v>221</v>
      </c>
      <c r="I2" s="1662" t="s">
        <v>222</v>
      </c>
      <c r="J2" s="1650" t="s">
        <v>223</v>
      </c>
      <c r="K2" s="1652" t="s">
        <v>271</v>
      </c>
      <c r="L2" s="1762" t="s">
        <v>246</v>
      </c>
      <c r="M2" s="1763"/>
      <c r="N2" s="1763"/>
      <c r="O2" s="1763"/>
      <c r="P2" s="1763"/>
      <c r="Q2" s="956" t="s">
        <v>247</v>
      </c>
      <c r="R2" s="957" t="s">
        <v>125</v>
      </c>
      <c r="S2" s="956" t="s">
        <v>249</v>
      </c>
      <c r="T2" s="956" t="s">
        <v>250</v>
      </c>
      <c r="U2" s="958" t="s">
        <v>2</v>
      </c>
      <c r="V2" s="956" t="s">
        <v>272</v>
      </c>
      <c r="W2" s="1764" t="s">
        <v>283</v>
      </c>
      <c r="X2" s="1756" t="s">
        <v>18</v>
      </c>
      <c r="Y2" s="1756" t="s">
        <v>126</v>
      </c>
      <c r="Z2" s="1756" t="s">
        <v>19</v>
      </c>
      <c r="AA2" s="1758" t="s">
        <v>284</v>
      </c>
      <c r="AB2" s="1760" t="s">
        <v>17</v>
      </c>
      <c r="AC2" s="1756" t="s">
        <v>3</v>
      </c>
    </row>
    <row r="3" spans="1:29" ht="102.75" thickBot="1">
      <c r="A3" s="714"/>
      <c r="B3" s="714"/>
      <c r="C3" s="1660"/>
      <c r="D3" s="1661"/>
      <c r="E3" s="1663"/>
      <c r="F3" s="1651"/>
      <c r="G3" s="1663"/>
      <c r="H3" s="1651"/>
      <c r="I3" s="1663"/>
      <c r="J3" s="1651"/>
      <c r="K3" s="1653"/>
      <c r="L3" s="959" t="s">
        <v>251</v>
      </c>
      <c r="M3" s="959" t="s">
        <v>273</v>
      </c>
      <c r="N3" s="959" t="s">
        <v>274</v>
      </c>
      <c r="O3" s="959" t="s">
        <v>254</v>
      </c>
      <c r="P3" s="960" t="s">
        <v>255</v>
      </c>
      <c r="Q3" s="727" t="s">
        <v>256</v>
      </c>
      <c r="R3" s="961" t="s">
        <v>259</v>
      </c>
      <c r="S3" s="961" t="s">
        <v>260</v>
      </c>
      <c r="T3" s="961" t="s">
        <v>261</v>
      </c>
      <c r="U3" s="838" t="s">
        <v>262</v>
      </c>
      <c r="V3" s="838" t="s">
        <v>275</v>
      </c>
      <c r="W3" s="1765"/>
      <c r="X3" s="1757"/>
      <c r="Y3" s="1757"/>
      <c r="Z3" s="1757"/>
      <c r="AA3" s="1759"/>
      <c r="AB3" s="1761"/>
      <c r="AC3" s="1757"/>
    </row>
    <row r="4" spans="1:29" s="966" customFormat="1" ht="26.25" thickBot="1">
      <c r="A4" s="962"/>
      <c r="B4" s="962"/>
      <c r="C4" s="1643" t="s">
        <v>129</v>
      </c>
      <c r="D4" s="1644"/>
      <c r="E4" s="725"/>
      <c r="F4" s="726"/>
      <c r="G4" s="725"/>
      <c r="H4" s="726"/>
      <c r="I4" s="725"/>
      <c r="J4" s="726"/>
      <c r="K4" s="727"/>
      <c r="L4" s="963" t="s">
        <v>276</v>
      </c>
      <c r="M4" s="964" t="s">
        <v>278</v>
      </c>
      <c r="N4" s="959" t="s">
        <v>278</v>
      </c>
      <c r="O4" s="959" t="s">
        <v>278</v>
      </c>
      <c r="P4" s="960" t="s">
        <v>278</v>
      </c>
      <c r="Q4" s="727" t="s">
        <v>55</v>
      </c>
      <c r="R4" s="961" t="s">
        <v>278</v>
      </c>
      <c r="S4" s="727" t="s">
        <v>278</v>
      </c>
      <c r="T4" s="727" t="s">
        <v>278</v>
      </c>
      <c r="U4" s="725" t="s">
        <v>279</v>
      </c>
      <c r="V4" s="725" t="s">
        <v>280</v>
      </c>
      <c r="W4" s="725" t="s">
        <v>134</v>
      </c>
      <c r="X4" s="727" t="s">
        <v>281</v>
      </c>
      <c r="Y4" s="965" t="s">
        <v>278</v>
      </c>
      <c r="Z4" s="965" t="s">
        <v>134</v>
      </c>
      <c r="AA4" s="737" t="s">
        <v>134</v>
      </c>
      <c r="AB4" s="738" t="s">
        <v>134</v>
      </c>
      <c r="AC4" s="739" t="s">
        <v>134</v>
      </c>
    </row>
    <row r="5" spans="1:29" ht="27" customHeight="1" thickBot="1">
      <c r="A5" s="714"/>
      <c r="B5" s="714"/>
      <c r="C5" s="1645" t="s">
        <v>138</v>
      </c>
      <c r="D5" s="1646"/>
      <c r="E5" s="742"/>
      <c r="F5" s="743"/>
      <c r="G5" s="742"/>
      <c r="H5" s="744"/>
      <c r="I5" s="745"/>
      <c r="J5" s="746"/>
      <c r="K5" s="747"/>
      <c r="L5" s="967">
        <f>'[7]Catalogue dot 2020'!E4</f>
        <v>86</v>
      </c>
      <c r="M5" s="968">
        <f>'[7]Catalogue dot 2020'!E5</f>
        <v>187.11</v>
      </c>
      <c r="N5" s="969">
        <f>'[7]Catalogue dot 2020'!E6</f>
        <v>174.89</v>
      </c>
      <c r="O5" s="969">
        <f>'[7]Catalogue dot 2020'!E7</f>
        <v>111.8</v>
      </c>
      <c r="P5" s="970">
        <f>'[7]Catalogue dot 2020'!E8</f>
        <v>84.64</v>
      </c>
      <c r="Q5" s="971">
        <f>'[7]Catalogue dot 2020'!E9</f>
        <v>240.32</v>
      </c>
      <c r="R5" s="971">
        <v>721.9</v>
      </c>
      <c r="S5" s="972">
        <f>'[7]Catalogue dot 2020'!E11</f>
        <v>333.96</v>
      </c>
      <c r="T5" s="972">
        <f>'[7]Catalogue dot 2020'!E12</f>
        <v>152.17</v>
      </c>
      <c r="U5" s="973">
        <f>'[7]Catalogue dot 2020'!E7</f>
        <v>111.8</v>
      </c>
      <c r="V5" s="973">
        <f>'[7]Catalogue dot 2020'!E15</f>
        <v>143</v>
      </c>
      <c r="W5" s="973">
        <f>'[7]Catalogue dot 2020'!E13</f>
        <v>56</v>
      </c>
      <c r="X5" s="972">
        <f>'[7]Catalogue dot 2020'!E16</f>
        <v>246.75</v>
      </c>
      <c r="Y5" s="974">
        <f>'[7]Catalogue dot 2020'!E17</f>
        <v>183.53</v>
      </c>
      <c r="Z5" s="974">
        <v>300</v>
      </c>
      <c r="AA5" s="975">
        <f>'[7]Catalogue dot 2020'!E18</f>
        <v>112</v>
      </c>
      <c r="AB5" s="976">
        <v>300</v>
      </c>
      <c r="AC5" s="977">
        <v>300</v>
      </c>
    </row>
    <row r="6" spans="3:29" ht="15.75">
      <c r="C6" s="1617" t="s">
        <v>229</v>
      </c>
      <c r="D6" s="1647"/>
      <c r="E6" s="1662">
        <v>100</v>
      </c>
      <c r="F6" s="1767">
        <f>E6/$E$87</f>
        <v>0.1218026796589525</v>
      </c>
      <c r="G6" s="1770">
        <f>COUNTA(L6:AC15)-2</f>
        <v>26</v>
      </c>
      <c r="H6" s="1767">
        <f>G6/E6</f>
        <v>0.26</v>
      </c>
      <c r="I6" s="1771">
        <v>4201</v>
      </c>
      <c r="J6" s="1774">
        <f>I6/I87</f>
        <v>0.10492270036714202</v>
      </c>
      <c r="K6" s="1777">
        <f>I6/G6</f>
        <v>161.57692307692307</v>
      </c>
      <c r="L6" s="978"/>
      <c r="M6" s="978"/>
      <c r="N6" s="978">
        <v>544</v>
      </c>
      <c r="O6" s="978">
        <v>544</v>
      </c>
      <c r="P6" s="979"/>
      <c r="Q6" s="980"/>
      <c r="R6" s="981"/>
      <c r="S6" s="981"/>
      <c r="T6" s="980"/>
      <c r="U6" s="982"/>
      <c r="V6" s="982"/>
      <c r="W6" s="982"/>
      <c r="X6" s="981"/>
      <c r="Y6" s="981"/>
      <c r="Z6" s="981"/>
      <c r="AA6" s="983"/>
      <c r="AB6" s="984"/>
      <c r="AC6" s="985">
        <v>46</v>
      </c>
    </row>
    <row r="7" spans="3:29" ht="15.75">
      <c r="C7" s="1619"/>
      <c r="D7" s="1648"/>
      <c r="E7" s="1766"/>
      <c r="F7" s="1768"/>
      <c r="G7" s="1766"/>
      <c r="H7" s="1768"/>
      <c r="I7" s="1772"/>
      <c r="J7" s="1775"/>
      <c r="K7" s="1778"/>
      <c r="L7" s="986"/>
      <c r="M7" s="986"/>
      <c r="N7" s="986"/>
      <c r="O7" s="986"/>
      <c r="P7" s="987"/>
      <c r="Q7" s="988"/>
      <c r="R7" s="989"/>
      <c r="S7" s="989"/>
      <c r="T7" s="988"/>
      <c r="U7" s="990"/>
      <c r="V7" s="990"/>
      <c r="W7" s="990"/>
      <c r="X7" s="989"/>
      <c r="Y7" s="989"/>
      <c r="Z7" s="989"/>
      <c r="AA7" s="991"/>
      <c r="AB7" s="992">
        <v>52</v>
      </c>
      <c r="AC7" s="993">
        <v>475</v>
      </c>
    </row>
    <row r="8" spans="3:31" ht="15.75">
      <c r="C8" s="1619"/>
      <c r="D8" s="1648"/>
      <c r="E8" s="1766"/>
      <c r="F8" s="1768"/>
      <c r="G8" s="1766"/>
      <c r="H8" s="1768"/>
      <c r="I8" s="1772"/>
      <c r="J8" s="1775"/>
      <c r="K8" s="1778"/>
      <c r="L8" s="994"/>
      <c r="M8" s="994"/>
      <c r="N8" s="994">
        <v>1547</v>
      </c>
      <c r="O8" s="994"/>
      <c r="P8" s="995"/>
      <c r="Q8" s="996">
        <v>43</v>
      </c>
      <c r="R8" s="997">
        <v>1633</v>
      </c>
      <c r="S8" s="997"/>
      <c r="T8" s="996"/>
      <c r="U8" s="998"/>
      <c r="V8" s="998"/>
      <c r="W8" s="998"/>
      <c r="X8" s="997"/>
      <c r="Y8" s="997"/>
      <c r="Z8" s="997"/>
      <c r="AA8" s="999"/>
      <c r="AB8" s="1000">
        <v>499</v>
      </c>
      <c r="AC8" s="1001">
        <v>1667</v>
      </c>
      <c r="AE8" s="1002"/>
    </row>
    <row r="9" spans="3:29" ht="15.75">
      <c r="C9" s="1619"/>
      <c r="D9" s="1648"/>
      <c r="E9" s="1766"/>
      <c r="F9" s="1768"/>
      <c r="G9" s="1766"/>
      <c r="H9" s="1768"/>
      <c r="I9" s="1772"/>
      <c r="J9" s="1775"/>
      <c r="K9" s="1778"/>
      <c r="L9" s="994"/>
      <c r="M9" s="994"/>
      <c r="N9" s="994"/>
      <c r="O9" s="994"/>
      <c r="P9" s="995"/>
      <c r="Q9" s="996">
        <v>172</v>
      </c>
      <c r="R9" s="997"/>
      <c r="S9" s="997"/>
      <c r="T9" s="996"/>
      <c r="U9" s="998"/>
      <c r="V9" s="998"/>
      <c r="W9" s="998"/>
      <c r="X9" s="997"/>
      <c r="Y9" s="997"/>
      <c r="Z9" s="997"/>
      <c r="AA9" s="999"/>
      <c r="AB9" s="1000"/>
      <c r="AC9" s="1001">
        <v>647</v>
      </c>
    </row>
    <row r="10" spans="3:29" ht="15.75">
      <c r="C10" s="1619"/>
      <c r="D10" s="1648"/>
      <c r="E10" s="1766"/>
      <c r="F10" s="1768"/>
      <c r="G10" s="1766"/>
      <c r="H10" s="1768"/>
      <c r="I10" s="1772"/>
      <c r="J10" s="1775"/>
      <c r="K10" s="1778"/>
      <c r="L10" s="994"/>
      <c r="M10" s="994"/>
      <c r="N10" s="994">
        <v>176</v>
      </c>
      <c r="O10" s="994"/>
      <c r="P10" s="995">
        <v>176</v>
      </c>
      <c r="Q10" s="996">
        <v>547</v>
      </c>
      <c r="R10" s="997"/>
      <c r="S10" s="997"/>
      <c r="T10" s="996"/>
      <c r="U10" s="998"/>
      <c r="V10" s="998"/>
      <c r="W10" s="998"/>
      <c r="X10" s="997"/>
      <c r="Y10" s="997"/>
      <c r="Z10" s="997"/>
      <c r="AA10" s="999"/>
      <c r="AB10" s="1000"/>
      <c r="AC10" s="1001">
        <v>139</v>
      </c>
    </row>
    <row r="11" spans="3:29" ht="15.75">
      <c r="C11" s="1619"/>
      <c r="D11" s="1648"/>
      <c r="E11" s="1766"/>
      <c r="F11" s="1768"/>
      <c r="G11" s="1766"/>
      <c r="H11" s="1768"/>
      <c r="I11" s="1772"/>
      <c r="J11" s="1775"/>
      <c r="K11" s="1778"/>
      <c r="L11" s="994"/>
      <c r="M11" s="994"/>
      <c r="N11" s="994"/>
      <c r="O11" s="994"/>
      <c r="P11" s="995"/>
      <c r="Q11" s="996">
        <v>572</v>
      </c>
      <c r="R11" s="997">
        <v>315</v>
      </c>
      <c r="S11" s="997"/>
      <c r="T11" s="996"/>
      <c r="U11" s="998"/>
      <c r="V11" s="998"/>
      <c r="W11" s="998"/>
      <c r="X11" s="997">
        <v>212</v>
      </c>
      <c r="Y11" s="997"/>
      <c r="Z11" s="997"/>
      <c r="AA11" s="999"/>
      <c r="AB11" s="1000"/>
      <c r="AC11" s="1001"/>
    </row>
    <row r="12" spans="3:29" ht="15.75">
      <c r="C12" s="1619"/>
      <c r="D12" s="1648"/>
      <c r="E12" s="1766"/>
      <c r="F12" s="1768"/>
      <c r="G12" s="1766"/>
      <c r="H12" s="1768"/>
      <c r="I12" s="1772"/>
      <c r="J12" s="1775"/>
      <c r="K12" s="1778"/>
      <c r="L12" s="994"/>
      <c r="M12" s="994"/>
      <c r="N12" s="994"/>
      <c r="O12" s="994"/>
      <c r="P12" s="995"/>
      <c r="Q12" s="996">
        <v>497</v>
      </c>
      <c r="R12" s="997"/>
      <c r="S12" s="997"/>
      <c r="T12" s="996"/>
      <c r="U12" s="998"/>
      <c r="V12" s="998"/>
      <c r="W12" s="998"/>
      <c r="X12" s="997"/>
      <c r="Y12" s="997"/>
      <c r="Z12" s="997"/>
      <c r="AA12" s="999"/>
      <c r="AB12" s="1000"/>
      <c r="AC12" s="1001">
        <v>201</v>
      </c>
    </row>
    <row r="13" spans="3:29" ht="15.75">
      <c r="C13" s="1619"/>
      <c r="D13" s="1648"/>
      <c r="E13" s="1766"/>
      <c r="F13" s="1768"/>
      <c r="G13" s="1766"/>
      <c r="H13" s="1768"/>
      <c r="I13" s="1772"/>
      <c r="J13" s="1775"/>
      <c r="K13" s="1778"/>
      <c r="L13" s="994"/>
      <c r="M13" s="994"/>
      <c r="N13" s="994">
        <v>83</v>
      </c>
      <c r="O13" s="994"/>
      <c r="P13" s="995">
        <v>83</v>
      </c>
      <c r="Q13" s="996"/>
      <c r="R13" s="997"/>
      <c r="S13" s="997"/>
      <c r="T13" s="996"/>
      <c r="U13" s="998"/>
      <c r="V13" s="998"/>
      <c r="W13" s="998"/>
      <c r="X13" s="997">
        <v>841</v>
      </c>
      <c r="Y13" s="997"/>
      <c r="Z13" s="997"/>
      <c r="AA13" s="999"/>
      <c r="AB13" s="1000"/>
      <c r="AC13" s="1001">
        <v>535</v>
      </c>
    </row>
    <row r="14" spans="3:31" ht="15.75">
      <c r="C14" s="1619"/>
      <c r="D14" s="1648"/>
      <c r="E14" s="1766"/>
      <c r="F14" s="1768"/>
      <c r="G14" s="1766"/>
      <c r="H14" s="1768"/>
      <c r="I14" s="1772"/>
      <c r="J14" s="1775"/>
      <c r="K14" s="1778"/>
      <c r="L14" s="994"/>
      <c r="M14" s="994"/>
      <c r="N14" s="994"/>
      <c r="O14" s="994"/>
      <c r="P14" s="995"/>
      <c r="Q14" s="996"/>
      <c r="R14" s="997"/>
      <c r="S14" s="997"/>
      <c r="T14" s="996"/>
      <c r="U14" s="998"/>
      <c r="V14" s="998"/>
      <c r="W14" s="998"/>
      <c r="X14" s="997"/>
      <c r="Y14" s="997"/>
      <c r="Z14" s="997"/>
      <c r="AA14" s="999"/>
      <c r="AB14" s="1000"/>
      <c r="AC14" s="1001">
        <v>35</v>
      </c>
      <c r="AE14" s="1002"/>
    </row>
    <row r="15" spans="3:29" ht="16.5" thickBot="1">
      <c r="C15" s="1621"/>
      <c r="D15" s="1649"/>
      <c r="E15" s="1663"/>
      <c r="F15" s="1769"/>
      <c r="G15" s="1663"/>
      <c r="H15" s="1769"/>
      <c r="I15" s="1773"/>
      <c r="J15" s="1776"/>
      <c r="K15" s="1779"/>
      <c r="L15" s="1003"/>
      <c r="M15" s="1003"/>
      <c r="N15" s="1003"/>
      <c r="O15" s="1003"/>
      <c r="P15" s="1004"/>
      <c r="Q15" s="1005"/>
      <c r="R15" s="1005"/>
      <c r="S15" s="1005"/>
      <c r="T15" s="1005">
        <v>884</v>
      </c>
      <c r="U15" s="1006"/>
      <c r="V15" s="1006"/>
      <c r="W15" s="1006"/>
      <c r="X15" s="1005"/>
      <c r="Y15" s="1005"/>
      <c r="Z15" s="1005"/>
      <c r="AA15" s="1007"/>
      <c r="AB15" s="1008"/>
      <c r="AC15" s="1009">
        <v>184</v>
      </c>
    </row>
    <row r="16" spans="3:29" ht="15.75">
      <c r="C16" s="1780" t="s">
        <v>230</v>
      </c>
      <c r="D16" s="1781"/>
      <c r="E16" s="1766">
        <v>49</v>
      </c>
      <c r="F16" s="1768">
        <f>E16/$E$87</f>
        <v>0.05968331303288672</v>
      </c>
      <c r="G16" s="1662">
        <f>COUNTA(L16:AC23)</f>
        <v>11</v>
      </c>
      <c r="H16" s="1767">
        <f>G16/E16</f>
        <v>0.22448979591836735</v>
      </c>
      <c r="I16" s="1782">
        <v>2063</v>
      </c>
      <c r="J16" s="1774">
        <f>I16/I87</f>
        <v>0.051524763355728156</v>
      </c>
      <c r="K16" s="1777">
        <f>I16/G16</f>
        <v>187.54545454545453</v>
      </c>
      <c r="L16" s="1010"/>
      <c r="M16" s="1010"/>
      <c r="N16" s="1010"/>
      <c r="O16" s="1010"/>
      <c r="P16" s="1011"/>
      <c r="Q16" s="981"/>
      <c r="R16" s="981"/>
      <c r="S16" s="981"/>
      <c r="T16" s="981">
        <v>963</v>
      </c>
      <c r="U16" s="982"/>
      <c r="V16" s="982"/>
      <c r="W16" s="982"/>
      <c r="X16" s="981"/>
      <c r="Y16" s="981"/>
      <c r="Z16" s="981"/>
      <c r="AA16" s="983"/>
      <c r="AB16" s="984"/>
      <c r="AC16" s="985"/>
    </row>
    <row r="17" spans="3:29" ht="15.75">
      <c r="C17" s="1780"/>
      <c r="D17" s="1781"/>
      <c r="E17" s="1766"/>
      <c r="F17" s="1768"/>
      <c r="G17" s="1766"/>
      <c r="H17" s="1768"/>
      <c r="I17" s="1772"/>
      <c r="J17" s="1775"/>
      <c r="K17" s="1778"/>
      <c r="L17" s="1012"/>
      <c r="M17" s="1012"/>
      <c r="N17" s="1012"/>
      <c r="O17" s="1012"/>
      <c r="P17" s="987"/>
      <c r="Q17" s="988"/>
      <c r="R17" s="989"/>
      <c r="S17" s="988"/>
      <c r="T17" s="988"/>
      <c r="U17" s="1013"/>
      <c r="V17" s="1013"/>
      <c r="W17" s="1013"/>
      <c r="X17" s="988"/>
      <c r="Y17" s="989"/>
      <c r="Z17" s="989"/>
      <c r="AA17" s="991"/>
      <c r="AB17" s="992"/>
      <c r="AC17" s="1014">
        <v>237</v>
      </c>
    </row>
    <row r="18" spans="3:29" ht="15.75">
      <c r="C18" s="1780"/>
      <c r="D18" s="1781"/>
      <c r="E18" s="1766"/>
      <c r="F18" s="1768"/>
      <c r="G18" s="1766"/>
      <c r="H18" s="1768"/>
      <c r="I18" s="1772"/>
      <c r="J18" s="1775"/>
      <c r="K18" s="1778"/>
      <c r="L18" s="1012"/>
      <c r="M18" s="1012"/>
      <c r="N18" s="1012"/>
      <c r="O18" s="1012"/>
      <c r="P18" s="987"/>
      <c r="Q18" s="988"/>
      <c r="R18" s="989"/>
      <c r="S18" s="988"/>
      <c r="T18" s="988">
        <v>125</v>
      </c>
      <c r="U18" s="1013"/>
      <c r="V18" s="1013"/>
      <c r="W18" s="1013"/>
      <c r="X18" s="988"/>
      <c r="Y18" s="989"/>
      <c r="Z18" s="989"/>
      <c r="AA18" s="991"/>
      <c r="AB18" s="992"/>
      <c r="AC18" s="1014">
        <v>677</v>
      </c>
    </row>
    <row r="19" spans="3:29" ht="15.75">
      <c r="C19" s="1780"/>
      <c r="D19" s="1781"/>
      <c r="E19" s="1766"/>
      <c r="F19" s="1768"/>
      <c r="G19" s="1766"/>
      <c r="H19" s="1768"/>
      <c r="I19" s="1772"/>
      <c r="J19" s="1775"/>
      <c r="K19" s="1778"/>
      <c r="L19" s="1012"/>
      <c r="M19" s="1012"/>
      <c r="N19" s="1012"/>
      <c r="O19" s="1012"/>
      <c r="P19" s="987"/>
      <c r="Q19" s="988"/>
      <c r="R19" s="989"/>
      <c r="S19" s="988"/>
      <c r="T19" s="988">
        <v>240</v>
      </c>
      <c r="U19" s="1013"/>
      <c r="V19" s="1013"/>
      <c r="W19" s="1013"/>
      <c r="X19" s="988">
        <v>442</v>
      </c>
      <c r="Y19" s="989">
        <v>1531</v>
      </c>
      <c r="Z19" s="989"/>
      <c r="AA19" s="991"/>
      <c r="AB19" s="992"/>
      <c r="AC19" s="1014"/>
    </row>
    <row r="20" spans="3:29" ht="15.75">
      <c r="C20" s="1780"/>
      <c r="D20" s="1781"/>
      <c r="E20" s="1766"/>
      <c r="F20" s="1768"/>
      <c r="G20" s="1766"/>
      <c r="H20" s="1768"/>
      <c r="I20" s="1772"/>
      <c r="J20" s="1775"/>
      <c r="K20" s="1778"/>
      <c r="L20" s="1012"/>
      <c r="M20" s="1012"/>
      <c r="N20" s="1012"/>
      <c r="O20" s="1012"/>
      <c r="P20" s="987"/>
      <c r="Q20" s="988"/>
      <c r="R20" s="989"/>
      <c r="S20" s="988"/>
      <c r="T20" s="988">
        <v>366</v>
      </c>
      <c r="U20" s="1013"/>
      <c r="V20" s="1013"/>
      <c r="W20" s="1013"/>
      <c r="X20" s="988"/>
      <c r="Y20" s="989"/>
      <c r="Z20" s="989"/>
      <c r="AA20" s="991"/>
      <c r="AB20" s="992"/>
      <c r="AC20" s="1014"/>
    </row>
    <row r="21" spans="3:29" ht="15.75">
      <c r="C21" s="1780"/>
      <c r="D21" s="1781"/>
      <c r="E21" s="1766"/>
      <c r="F21" s="1768"/>
      <c r="G21" s="1766"/>
      <c r="H21" s="1768"/>
      <c r="I21" s="1772"/>
      <c r="J21" s="1775"/>
      <c r="K21" s="1778"/>
      <c r="L21" s="1012"/>
      <c r="M21" s="1012"/>
      <c r="N21" s="1012"/>
      <c r="O21" s="1012"/>
      <c r="P21" s="987"/>
      <c r="Q21" s="988"/>
      <c r="R21" s="989"/>
      <c r="S21" s="988"/>
      <c r="T21" s="988">
        <v>242</v>
      </c>
      <c r="U21" s="1013"/>
      <c r="V21" s="1013"/>
      <c r="W21" s="1013"/>
      <c r="X21" s="988"/>
      <c r="Y21" s="989"/>
      <c r="Z21" s="989"/>
      <c r="AA21" s="991"/>
      <c r="AB21" s="992"/>
      <c r="AC21" s="1014"/>
    </row>
    <row r="22" spans="3:29" ht="15.75">
      <c r="C22" s="1780"/>
      <c r="D22" s="1781"/>
      <c r="E22" s="1766"/>
      <c r="F22" s="1768"/>
      <c r="G22" s="1766"/>
      <c r="H22" s="1768"/>
      <c r="I22" s="1772"/>
      <c r="J22" s="1775"/>
      <c r="K22" s="1778"/>
      <c r="L22" s="1012"/>
      <c r="M22" s="1012"/>
      <c r="N22" s="1012"/>
      <c r="O22" s="1012"/>
      <c r="P22" s="987"/>
      <c r="Q22" s="988"/>
      <c r="R22" s="989"/>
      <c r="S22" s="988"/>
      <c r="T22" s="988">
        <v>974</v>
      </c>
      <c r="U22" s="1013"/>
      <c r="V22" s="1013"/>
      <c r="W22" s="1013"/>
      <c r="X22" s="988"/>
      <c r="Y22" s="989"/>
      <c r="Z22" s="989"/>
      <c r="AA22" s="991"/>
      <c r="AB22" s="992"/>
      <c r="AC22" s="1014"/>
    </row>
    <row r="23" spans="3:29" ht="16.5" thickBot="1">
      <c r="C23" s="1780"/>
      <c r="D23" s="1781"/>
      <c r="E23" s="1766"/>
      <c r="F23" s="1768"/>
      <c r="G23" s="1766"/>
      <c r="H23" s="1768"/>
      <c r="I23" s="1772"/>
      <c r="J23" s="1775"/>
      <c r="K23" s="1778"/>
      <c r="L23" s="1012"/>
      <c r="M23" s="1012"/>
      <c r="N23" s="1012"/>
      <c r="O23" s="1012"/>
      <c r="P23" s="987"/>
      <c r="Q23" s="988"/>
      <c r="R23" s="989"/>
      <c r="S23" s="988"/>
      <c r="T23" s="988">
        <v>757</v>
      </c>
      <c r="U23" s="1013"/>
      <c r="V23" s="1013"/>
      <c r="W23" s="1013"/>
      <c r="X23" s="988"/>
      <c r="Y23" s="989"/>
      <c r="Z23" s="989"/>
      <c r="AA23" s="991"/>
      <c r="AB23" s="992"/>
      <c r="AC23" s="1014"/>
    </row>
    <row r="24" spans="3:29" ht="15.75">
      <c r="C24" s="1783" t="s">
        <v>231</v>
      </c>
      <c r="D24" s="1784"/>
      <c r="E24" s="1662">
        <v>43</v>
      </c>
      <c r="F24" s="1767">
        <f>E24/$E$87</f>
        <v>0.05237515225334957</v>
      </c>
      <c r="G24" s="1662">
        <f>COUNTA(L24:AC25)-1</f>
        <v>6</v>
      </c>
      <c r="H24" s="1767">
        <f>G24/E24</f>
        <v>0.13953488372093023</v>
      </c>
      <c r="I24" s="1771">
        <f>$L$5*COUNTA(L24:L25)+$M$5*COUNTA(M24:M25)+$O$5*COUNTA(O24:O25)+$P$5*COUNTA(P24:P25)+$Q$5*COUNTA(Q24:Q25)+$R$5*COUNTA(R24:R25)+$S$5*COUNTA(S24:S25)+$T$5*COUNTA(T24:T25)+$U$5*COUNTA(U24:U25)+$X$5*COUNTA(X24:X25)+$Y$5*COUNTA(Y24:Y25)++$Z$5*COUNTA(Z24:Z25)+$AB$5*COUNTA(AB24:AB25)+$AC$5*COUNTA(AC24:AC25)+$N$5*COUNTA(N24:N25)+$V$5*COUNTA(V24:V25)+$AB$5*COUNTA(AA24:AA25)</f>
        <v>1695.67</v>
      </c>
      <c r="J24" s="1774">
        <f>I24/I87</f>
        <v>0.04235045830315442</v>
      </c>
      <c r="K24" s="1777">
        <f>I24/G24</f>
        <v>282.6116666666667</v>
      </c>
      <c r="L24" s="1010"/>
      <c r="M24" s="1010"/>
      <c r="N24" s="1010"/>
      <c r="O24" s="1010"/>
      <c r="P24" s="1011"/>
      <c r="Q24" s="981">
        <v>944</v>
      </c>
      <c r="R24" s="981"/>
      <c r="S24" s="981"/>
      <c r="T24" s="981"/>
      <c r="U24" s="982"/>
      <c r="V24" s="982"/>
      <c r="W24" s="982"/>
      <c r="X24" s="981"/>
      <c r="Y24" s="981"/>
      <c r="Z24" s="981"/>
      <c r="AA24" s="983"/>
      <c r="AB24" s="982"/>
      <c r="AC24" s="985"/>
    </row>
    <row r="25" spans="3:29" ht="16.5" thickBot="1">
      <c r="C25" s="1785"/>
      <c r="D25" s="1786"/>
      <c r="E25" s="1663"/>
      <c r="F25" s="1769"/>
      <c r="G25" s="1663"/>
      <c r="H25" s="1769"/>
      <c r="I25" s="1773"/>
      <c r="J25" s="1776"/>
      <c r="K25" s="1778"/>
      <c r="L25" s="1015">
        <v>1574</v>
      </c>
      <c r="M25" s="1015"/>
      <c r="N25" s="1015"/>
      <c r="O25" s="1015">
        <v>765</v>
      </c>
      <c r="P25" s="1016"/>
      <c r="Q25" s="989">
        <v>750</v>
      </c>
      <c r="R25" s="989">
        <v>827</v>
      </c>
      <c r="S25" s="989"/>
      <c r="T25" s="989"/>
      <c r="U25" s="990">
        <v>328</v>
      </c>
      <c r="V25" s="990"/>
      <c r="W25" s="990"/>
      <c r="X25" s="989"/>
      <c r="Y25" s="989">
        <v>909</v>
      </c>
      <c r="Z25" s="989"/>
      <c r="AA25" s="991"/>
      <c r="AB25" s="990"/>
      <c r="AC25" s="993"/>
    </row>
    <row r="26" spans="3:29" ht="15.75">
      <c r="C26" s="1780" t="s">
        <v>232</v>
      </c>
      <c r="D26" s="1781"/>
      <c r="E26" s="1766">
        <v>5</v>
      </c>
      <c r="F26" s="1768">
        <f>E26/$E$87</f>
        <v>0.0060901339829476245</v>
      </c>
      <c r="G26" s="1766">
        <f>COUNTA(L26:AC28)</f>
        <v>2</v>
      </c>
      <c r="H26" s="1574">
        <f>G26/E26</f>
        <v>0.4</v>
      </c>
      <c r="I26" s="1772">
        <f>$L$5*COUNTA(L26:L28)+$M$5*COUNTA(M26:M28)+$O$5*COUNTA(O26:O28)+$P$5*COUNTA(P26:P28)+$Q$5*COUNTA(Q26:Q28)+$R$5*COUNTA(R26:R28)+$S$5*COUNTA(S26:S28)+$T$5*COUNTA(T26:T28)+$U$5*COUNTA(U26:U28)+$X$5*COUNTA(X26:X28)+$Y$5*COUNTA(Y26:Y28)+$Z$5*COUNTA(Z26:Z28)+$AB$5*COUNTA(AB26:AB28)+$AC$5*COUNTA(AC26:AC28)+$N$5*COUNTA(N26:N28)+$V$5*COUNTA(V26:V28)</f>
        <v>546.75</v>
      </c>
      <c r="J26" s="1775">
        <f>I26/I87</f>
        <v>0.013655435949948797</v>
      </c>
      <c r="K26" s="1787">
        <f>I26/G26</f>
        <v>273.375</v>
      </c>
      <c r="L26" s="1010"/>
      <c r="M26" s="1010"/>
      <c r="N26" s="1010"/>
      <c r="O26" s="1010"/>
      <c r="P26" s="1011"/>
      <c r="Q26" s="981"/>
      <c r="R26" s="981"/>
      <c r="S26" s="981"/>
      <c r="T26" s="981"/>
      <c r="U26" s="982"/>
      <c r="V26" s="982"/>
      <c r="W26" s="982"/>
      <c r="X26" s="981">
        <v>830</v>
      </c>
      <c r="Y26" s="981"/>
      <c r="Z26" s="981"/>
      <c r="AA26" s="983"/>
      <c r="AB26" s="984"/>
      <c r="AC26" s="985">
        <v>371</v>
      </c>
    </row>
    <row r="27" spans="3:29" ht="15.75">
      <c r="C27" s="1780"/>
      <c r="D27" s="1781"/>
      <c r="E27" s="1766"/>
      <c r="F27" s="1768"/>
      <c r="G27" s="1766"/>
      <c r="H27" s="1574"/>
      <c r="I27" s="1772"/>
      <c r="J27" s="1775"/>
      <c r="K27" s="1778"/>
      <c r="L27" s="1015"/>
      <c r="M27" s="1015"/>
      <c r="N27" s="1015"/>
      <c r="O27" s="1015"/>
      <c r="P27" s="1016"/>
      <c r="Q27" s="989"/>
      <c r="R27" s="989"/>
      <c r="S27" s="989"/>
      <c r="T27" s="989"/>
      <c r="U27" s="990"/>
      <c r="V27" s="990"/>
      <c r="W27" s="990"/>
      <c r="X27" s="989"/>
      <c r="Y27" s="989"/>
      <c r="Z27" s="989"/>
      <c r="AA27" s="991"/>
      <c r="AB27" s="992"/>
      <c r="AC27" s="993"/>
    </row>
    <row r="28" spans="3:29" ht="16.5" thickBot="1">
      <c r="C28" s="1780"/>
      <c r="D28" s="1781"/>
      <c r="E28" s="1766"/>
      <c r="F28" s="1768"/>
      <c r="G28" s="1766"/>
      <c r="H28" s="1574"/>
      <c r="I28" s="1773"/>
      <c r="J28" s="1775"/>
      <c r="K28" s="1779"/>
      <c r="L28" s="1017"/>
      <c r="M28" s="1017"/>
      <c r="N28" s="1017"/>
      <c r="O28" s="1017"/>
      <c r="P28" s="1004"/>
      <c r="Q28" s="1005"/>
      <c r="R28" s="1005"/>
      <c r="S28" s="1005"/>
      <c r="T28" s="1005"/>
      <c r="U28" s="1006"/>
      <c r="V28" s="1006"/>
      <c r="W28" s="1006"/>
      <c r="X28" s="1005"/>
      <c r="Y28" s="1005"/>
      <c r="Z28" s="1005"/>
      <c r="AA28" s="1007"/>
      <c r="AB28" s="1008"/>
      <c r="AC28" s="1009"/>
    </row>
    <row r="29" spans="3:29" ht="15.75">
      <c r="C29" s="1783" t="s">
        <v>233</v>
      </c>
      <c r="D29" s="1784"/>
      <c r="E29" s="1662">
        <v>46</v>
      </c>
      <c r="F29" s="1767">
        <f>E29/$E$87</f>
        <v>0.05602923264311815</v>
      </c>
      <c r="G29" s="1788">
        <f>COUNTA(L29:AC33)-3</f>
        <v>9</v>
      </c>
      <c r="H29" s="1767">
        <f>G29/E29</f>
        <v>0.1956521739130435</v>
      </c>
      <c r="I29" s="1791">
        <v>2056.36</v>
      </c>
      <c r="J29" s="1774">
        <f>I29/I87</f>
        <v>0.05135892504807812</v>
      </c>
      <c r="K29" s="1777">
        <f>I29/G29</f>
        <v>228.48444444444445</v>
      </c>
      <c r="L29" s="1010"/>
      <c r="M29" s="1010"/>
      <c r="N29" s="1010"/>
      <c r="O29" s="1010"/>
      <c r="P29" s="1011"/>
      <c r="Q29" s="981"/>
      <c r="R29" s="981"/>
      <c r="S29" s="981"/>
      <c r="T29" s="981"/>
      <c r="U29" s="982"/>
      <c r="V29" s="982"/>
      <c r="W29" s="982"/>
      <c r="X29" s="981">
        <v>102</v>
      </c>
      <c r="Y29" s="981"/>
      <c r="Z29" s="981"/>
      <c r="AA29" s="983"/>
      <c r="AB29" s="984"/>
      <c r="AC29" s="985">
        <v>66</v>
      </c>
    </row>
    <row r="30" spans="3:29" ht="15.75">
      <c r="C30" s="1780"/>
      <c r="D30" s="1781"/>
      <c r="E30" s="1766"/>
      <c r="F30" s="1768"/>
      <c r="G30" s="1789"/>
      <c r="H30" s="1768"/>
      <c r="I30" s="1772"/>
      <c r="J30" s="1775"/>
      <c r="K30" s="1778"/>
      <c r="L30" s="1015"/>
      <c r="M30" s="1015"/>
      <c r="N30" s="1015"/>
      <c r="O30" s="1015"/>
      <c r="P30" s="1016"/>
      <c r="Q30" s="989"/>
      <c r="R30" s="989"/>
      <c r="S30" s="989"/>
      <c r="T30" s="989">
        <v>774</v>
      </c>
      <c r="U30" s="990"/>
      <c r="V30" s="990"/>
      <c r="W30" s="990"/>
      <c r="X30" s="989">
        <v>14</v>
      </c>
      <c r="Y30" s="989"/>
      <c r="Z30" s="989"/>
      <c r="AA30" s="991"/>
      <c r="AB30" s="992"/>
      <c r="AC30" s="993">
        <v>504</v>
      </c>
    </row>
    <row r="31" spans="3:29" ht="15.75">
      <c r="C31" s="1780"/>
      <c r="D31" s="1781"/>
      <c r="E31" s="1766"/>
      <c r="F31" s="1768"/>
      <c r="G31" s="1789"/>
      <c r="H31" s="1768"/>
      <c r="I31" s="1772"/>
      <c r="J31" s="1775"/>
      <c r="K31" s="1778"/>
      <c r="L31" s="1015"/>
      <c r="M31" s="1015"/>
      <c r="N31" s="1015">
        <v>111</v>
      </c>
      <c r="O31" s="1015"/>
      <c r="P31" s="1016">
        <v>111</v>
      </c>
      <c r="Q31" s="989"/>
      <c r="R31" s="989"/>
      <c r="S31" s="989"/>
      <c r="T31" s="989">
        <v>119</v>
      </c>
      <c r="U31" s="990"/>
      <c r="V31" s="990"/>
      <c r="W31" s="990"/>
      <c r="X31" s="989">
        <v>111</v>
      </c>
      <c r="Y31" s="989"/>
      <c r="Z31" s="989"/>
      <c r="AA31" s="991"/>
      <c r="AB31" s="992"/>
      <c r="AC31" s="993"/>
    </row>
    <row r="32" spans="3:29" ht="15.75">
      <c r="C32" s="1780"/>
      <c r="D32" s="1781"/>
      <c r="E32" s="1766"/>
      <c r="F32" s="1768"/>
      <c r="G32" s="1789"/>
      <c r="H32" s="1768"/>
      <c r="I32" s="1772"/>
      <c r="J32" s="1775"/>
      <c r="K32" s="1778"/>
      <c r="L32" s="1018"/>
      <c r="M32" s="1018"/>
      <c r="N32" s="1018">
        <v>320</v>
      </c>
      <c r="O32" s="1018"/>
      <c r="P32" s="1019">
        <v>320</v>
      </c>
      <c r="Q32" s="997"/>
      <c r="R32" s="997"/>
      <c r="S32" s="997"/>
      <c r="T32" s="997">
        <v>776</v>
      </c>
      <c r="U32" s="998"/>
      <c r="V32" s="998"/>
      <c r="W32" s="998"/>
      <c r="X32" s="997"/>
      <c r="Y32" s="997"/>
      <c r="Z32" s="997"/>
      <c r="AA32" s="999"/>
      <c r="AB32" s="1000"/>
      <c r="AC32" s="1001"/>
    </row>
    <row r="33" spans="3:29" ht="16.5" thickBot="1">
      <c r="C33" s="1780"/>
      <c r="D33" s="1781"/>
      <c r="E33" s="1766"/>
      <c r="F33" s="1768"/>
      <c r="G33" s="1790"/>
      <c r="H33" s="1768"/>
      <c r="I33" s="1773"/>
      <c r="J33" s="1775"/>
      <c r="K33" s="1779"/>
      <c r="L33" s="1003"/>
      <c r="M33" s="1003"/>
      <c r="N33" s="1003"/>
      <c r="O33" s="1003"/>
      <c r="P33" s="1004"/>
      <c r="Q33" s="1005"/>
      <c r="R33" s="1005"/>
      <c r="S33" s="1005"/>
      <c r="T33" s="1005"/>
      <c r="U33" s="1006"/>
      <c r="V33" s="1006"/>
      <c r="W33" s="1006"/>
      <c r="X33" s="1005"/>
      <c r="Y33" s="1005"/>
      <c r="Z33" s="1005"/>
      <c r="AA33" s="1007"/>
      <c r="AB33" s="1008"/>
      <c r="AC33" s="1009"/>
    </row>
    <row r="34" spans="3:29" ht="15.75">
      <c r="C34" s="1792" t="s">
        <v>234</v>
      </c>
      <c r="D34" s="1783"/>
      <c r="E34" s="1662">
        <v>99</v>
      </c>
      <c r="F34" s="1767">
        <f>E34/$E$87</f>
        <v>0.12058465286236297</v>
      </c>
      <c r="G34" s="1662">
        <f>COUNTA(L34:AC40)-5</f>
        <v>15</v>
      </c>
      <c r="H34" s="1767">
        <f>G34/E34</f>
        <v>0.15151515151515152</v>
      </c>
      <c r="I34" s="1791">
        <v>3305</v>
      </c>
      <c r="J34" s="1774">
        <f>I34/I87</f>
        <v>0.08254451909388345</v>
      </c>
      <c r="K34" s="1777">
        <f>I34/G34</f>
        <v>220.33333333333334</v>
      </c>
      <c r="L34" s="1010"/>
      <c r="M34" s="1010"/>
      <c r="N34" s="1010">
        <v>617</v>
      </c>
      <c r="O34" s="1010">
        <v>617</v>
      </c>
      <c r="P34" s="1020"/>
      <c r="Q34" s="981"/>
      <c r="R34" s="981"/>
      <c r="S34" s="981"/>
      <c r="T34" s="981"/>
      <c r="U34" s="982">
        <v>386</v>
      </c>
      <c r="V34" s="982"/>
      <c r="W34" s="982">
        <v>137</v>
      </c>
      <c r="X34" s="981"/>
      <c r="Y34" s="981"/>
      <c r="Z34" s="981"/>
      <c r="AA34" s="983"/>
      <c r="AB34" s="984"/>
      <c r="AC34" s="985"/>
    </row>
    <row r="35" spans="3:29" ht="15.75">
      <c r="C35" s="1793"/>
      <c r="D35" s="1780"/>
      <c r="E35" s="1766"/>
      <c r="F35" s="1768"/>
      <c r="G35" s="1766"/>
      <c r="H35" s="1768"/>
      <c r="I35" s="1772"/>
      <c r="J35" s="1775"/>
      <c r="K35" s="1778"/>
      <c r="L35" s="1015"/>
      <c r="M35" s="1015"/>
      <c r="N35" s="1015">
        <v>105</v>
      </c>
      <c r="O35" s="1015"/>
      <c r="P35" s="1016">
        <v>105</v>
      </c>
      <c r="Q35" s="989"/>
      <c r="R35" s="989"/>
      <c r="S35" s="989"/>
      <c r="T35" s="989"/>
      <c r="U35" s="990"/>
      <c r="V35" s="990"/>
      <c r="W35" s="990"/>
      <c r="X35" s="989">
        <v>141</v>
      </c>
      <c r="Y35" s="989"/>
      <c r="Z35" s="989"/>
      <c r="AA35" s="991"/>
      <c r="AB35" s="992">
        <v>1000</v>
      </c>
      <c r="AC35" s="993"/>
    </row>
    <row r="36" spans="3:29" ht="15.75">
      <c r="C36" s="1793"/>
      <c r="D36" s="1780"/>
      <c r="E36" s="1766"/>
      <c r="F36" s="1768"/>
      <c r="G36" s="1766"/>
      <c r="H36" s="1768"/>
      <c r="I36" s="1772"/>
      <c r="J36" s="1775"/>
      <c r="K36" s="1778"/>
      <c r="L36" s="1018"/>
      <c r="M36" s="1018"/>
      <c r="N36" s="1018">
        <v>214</v>
      </c>
      <c r="O36" s="1018"/>
      <c r="P36" s="1019"/>
      <c r="Q36" s="997"/>
      <c r="R36" s="997"/>
      <c r="S36" s="997"/>
      <c r="T36" s="997">
        <v>368</v>
      </c>
      <c r="U36" s="998"/>
      <c r="V36" s="998"/>
      <c r="W36" s="998"/>
      <c r="X36" s="997"/>
      <c r="Y36" s="997"/>
      <c r="Z36" s="997"/>
      <c r="AA36" s="999"/>
      <c r="AB36" s="1000"/>
      <c r="AC36" s="1001">
        <v>148</v>
      </c>
    </row>
    <row r="37" spans="3:29" ht="15.75">
      <c r="C37" s="1793"/>
      <c r="D37" s="1780"/>
      <c r="E37" s="1766"/>
      <c r="F37" s="1768"/>
      <c r="G37" s="1766"/>
      <c r="H37" s="1768"/>
      <c r="I37" s="1772"/>
      <c r="J37" s="1775"/>
      <c r="K37" s="1778"/>
      <c r="L37" s="1018"/>
      <c r="M37" s="1018"/>
      <c r="N37" s="1018"/>
      <c r="O37" s="1018"/>
      <c r="P37" s="1019"/>
      <c r="Q37" s="997"/>
      <c r="R37" s="997"/>
      <c r="S37" s="997"/>
      <c r="T37" s="997">
        <v>1662</v>
      </c>
      <c r="U37" s="998"/>
      <c r="V37" s="998"/>
      <c r="W37" s="998"/>
      <c r="X37" s="997">
        <v>805</v>
      </c>
      <c r="Y37" s="997">
        <v>1592</v>
      </c>
      <c r="Z37" s="997"/>
      <c r="AA37" s="999"/>
      <c r="AB37" s="1000"/>
      <c r="AC37" s="1001"/>
    </row>
    <row r="38" spans="3:29" ht="15.75">
      <c r="C38" s="1793"/>
      <c r="D38" s="1780"/>
      <c r="E38" s="1766"/>
      <c r="F38" s="1768"/>
      <c r="G38" s="1766"/>
      <c r="H38" s="1768"/>
      <c r="I38" s="1772"/>
      <c r="J38" s="1775"/>
      <c r="K38" s="1778"/>
      <c r="L38" s="1018"/>
      <c r="M38" s="1018"/>
      <c r="N38" s="1018">
        <v>393</v>
      </c>
      <c r="O38" s="1018">
        <v>393</v>
      </c>
      <c r="P38" s="1019"/>
      <c r="Q38" s="997"/>
      <c r="R38" s="997"/>
      <c r="S38" s="997"/>
      <c r="T38" s="997"/>
      <c r="U38" s="998"/>
      <c r="V38" s="998"/>
      <c r="W38" s="998"/>
      <c r="X38" s="997"/>
      <c r="Y38" s="997"/>
      <c r="Z38" s="997"/>
      <c r="AA38" s="999"/>
      <c r="AB38" s="1000"/>
      <c r="AC38" s="1001"/>
    </row>
    <row r="39" spans="3:29" ht="15.75">
      <c r="C39" s="1793"/>
      <c r="D39" s="1780"/>
      <c r="E39" s="1766"/>
      <c r="F39" s="1768"/>
      <c r="G39" s="1766"/>
      <c r="H39" s="1768"/>
      <c r="I39" s="1772"/>
      <c r="J39" s="1775"/>
      <c r="K39" s="1778"/>
      <c r="L39" s="1018"/>
      <c r="M39" s="1018"/>
      <c r="N39" s="1018">
        <v>316</v>
      </c>
      <c r="O39" s="1018"/>
      <c r="P39" s="1019">
        <v>316</v>
      </c>
      <c r="Q39" s="997"/>
      <c r="R39" s="997"/>
      <c r="S39" s="997"/>
      <c r="T39" s="997"/>
      <c r="U39" s="998"/>
      <c r="V39" s="998"/>
      <c r="W39" s="998"/>
      <c r="X39" s="997"/>
      <c r="Y39" s="997"/>
      <c r="Z39" s="997"/>
      <c r="AA39" s="999"/>
      <c r="AB39" s="1000"/>
      <c r="AC39" s="1001"/>
    </row>
    <row r="40" spans="3:29" ht="16.5" thickBot="1">
      <c r="C40" s="1793"/>
      <c r="D40" s="1780"/>
      <c r="E40" s="1766"/>
      <c r="F40" s="1768"/>
      <c r="G40" s="1766"/>
      <c r="H40" s="1768"/>
      <c r="I40" s="1773"/>
      <c r="J40" s="1775"/>
      <c r="K40" s="1779"/>
      <c r="L40" s="1003"/>
      <c r="M40" s="1003"/>
      <c r="N40" s="1003">
        <v>564</v>
      </c>
      <c r="O40" s="1003"/>
      <c r="P40" s="1004">
        <v>564</v>
      </c>
      <c r="Q40" s="1005"/>
      <c r="R40" s="1005"/>
      <c r="S40" s="1005"/>
      <c r="T40" s="1005"/>
      <c r="U40" s="1006"/>
      <c r="V40" s="1006"/>
      <c r="W40" s="1006"/>
      <c r="X40" s="1005"/>
      <c r="Y40" s="1005"/>
      <c r="Z40" s="1005"/>
      <c r="AA40" s="1007"/>
      <c r="AB40" s="1008"/>
      <c r="AC40" s="1009"/>
    </row>
    <row r="41" spans="3:30" ht="15.75">
      <c r="C41" s="1794" t="s">
        <v>237</v>
      </c>
      <c r="D41" s="1795"/>
      <c r="E41" s="1662">
        <v>70</v>
      </c>
      <c r="F41" s="1767">
        <f>E41/$E$87</f>
        <v>0.08526187576126674</v>
      </c>
      <c r="G41" s="1662">
        <f>COUNTA(L41:AC47)-6</f>
        <v>18</v>
      </c>
      <c r="H41" s="1767">
        <f>G41/E41</f>
        <v>0.2571428571428571</v>
      </c>
      <c r="I41" s="1791">
        <v>4113.93</v>
      </c>
      <c r="J41" s="1774">
        <f>I41/I87</f>
        <v>0.10274807063113463</v>
      </c>
      <c r="K41" s="1777">
        <f>I41/G41</f>
        <v>228.55166666666668</v>
      </c>
      <c r="L41" s="1010"/>
      <c r="M41" s="1010"/>
      <c r="N41" s="1010"/>
      <c r="O41" s="1010">
        <v>961</v>
      </c>
      <c r="P41" s="1011"/>
      <c r="Q41" s="981">
        <v>358</v>
      </c>
      <c r="R41" s="981"/>
      <c r="S41" s="981"/>
      <c r="T41" s="981"/>
      <c r="U41" s="982"/>
      <c r="V41" s="982"/>
      <c r="W41" s="982"/>
      <c r="X41" s="981">
        <v>30</v>
      </c>
      <c r="Y41" s="981">
        <v>1551</v>
      </c>
      <c r="Z41" s="981"/>
      <c r="AA41" s="983"/>
      <c r="AB41" s="984">
        <v>345</v>
      </c>
      <c r="AC41" s="985"/>
      <c r="AD41" s="1021"/>
    </row>
    <row r="42" spans="3:29" ht="15.75">
      <c r="C42" s="1796"/>
      <c r="D42" s="1797"/>
      <c r="E42" s="1766"/>
      <c r="F42" s="1768"/>
      <c r="G42" s="1766"/>
      <c r="H42" s="1768"/>
      <c r="I42" s="1772"/>
      <c r="J42" s="1775"/>
      <c r="K42" s="1778"/>
      <c r="L42" s="1015"/>
      <c r="M42" s="1015">
        <v>421</v>
      </c>
      <c r="N42" s="1018"/>
      <c r="O42" s="1015">
        <v>421</v>
      </c>
      <c r="P42" s="1019"/>
      <c r="Q42" s="989">
        <v>438</v>
      </c>
      <c r="R42" s="989"/>
      <c r="S42" s="989"/>
      <c r="T42" s="989"/>
      <c r="U42" s="990"/>
      <c r="V42" s="990"/>
      <c r="W42" s="990"/>
      <c r="X42" s="989">
        <v>19</v>
      </c>
      <c r="Y42" s="989"/>
      <c r="Z42" s="989"/>
      <c r="AA42" s="991"/>
      <c r="AB42" s="992"/>
      <c r="AC42" s="993">
        <v>707</v>
      </c>
    </row>
    <row r="43" spans="3:29" ht="15.75">
      <c r="C43" s="1796"/>
      <c r="D43" s="1797"/>
      <c r="E43" s="1766"/>
      <c r="F43" s="1768"/>
      <c r="G43" s="1766"/>
      <c r="H43" s="1768"/>
      <c r="I43" s="1772"/>
      <c r="J43" s="1775"/>
      <c r="K43" s="1778"/>
      <c r="L43" s="1018"/>
      <c r="M43" s="1018"/>
      <c r="N43" s="1018">
        <v>1643</v>
      </c>
      <c r="O43" s="1018"/>
      <c r="P43" s="1019">
        <v>1643</v>
      </c>
      <c r="Q43" s="997">
        <v>490</v>
      </c>
      <c r="R43" s="997"/>
      <c r="S43" s="997"/>
      <c r="T43" s="997"/>
      <c r="U43" s="998"/>
      <c r="V43" s="998"/>
      <c r="W43" s="998"/>
      <c r="X43" s="997"/>
      <c r="Y43" s="997"/>
      <c r="Z43" s="997"/>
      <c r="AA43" s="999"/>
      <c r="AB43" s="1000"/>
      <c r="AC43" s="1001">
        <v>383</v>
      </c>
    </row>
    <row r="44" spans="3:29" ht="15.75">
      <c r="C44" s="1796"/>
      <c r="D44" s="1797"/>
      <c r="E44" s="1766"/>
      <c r="F44" s="1768"/>
      <c r="G44" s="1766"/>
      <c r="H44" s="1768"/>
      <c r="I44" s="1772"/>
      <c r="J44" s="1775"/>
      <c r="K44" s="1778"/>
      <c r="L44" s="1018"/>
      <c r="M44" s="1018"/>
      <c r="N44" s="1018">
        <v>344</v>
      </c>
      <c r="O44" s="1018">
        <v>344</v>
      </c>
      <c r="P44" s="1019"/>
      <c r="Q44" s="997">
        <v>629</v>
      </c>
      <c r="R44" s="997"/>
      <c r="S44" s="997"/>
      <c r="T44" s="997"/>
      <c r="U44" s="998"/>
      <c r="V44" s="998"/>
      <c r="W44" s="998"/>
      <c r="X44" s="997"/>
      <c r="Y44" s="997"/>
      <c r="Z44" s="997"/>
      <c r="AA44" s="999"/>
      <c r="AB44" s="1000"/>
      <c r="AC44" s="1001">
        <v>503</v>
      </c>
    </row>
    <row r="45" spans="3:29" ht="15.75">
      <c r="C45" s="1796"/>
      <c r="D45" s="1797"/>
      <c r="E45" s="1766"/>
      <c r="F45" s="1768"/>
      <c r="G45" s="1766"/>
      <c r="H45" s="1768"/>
      <c r="I45" s="1772"/>
      <c r="J45" s="1775"/>
      <c r="K45" s="1778"/>
      <c r="L45" s="1018"/>
      <c r="M45" s="1018"/>
      <c r="N45" s="1018">
        <v>450</v>
      </c>
      <c r="O45" s="1018"/>
      <c r="P45" s="1019">
        <v>450</v>
      </c>
      <c r="Q45" s="997"/>
      <c r="R45" s="997"/>
      <c r="S45" s="997"/>
      <c r="T45" s="997"/>
      <c r="U45" s="998"/>
      <c r="V45" s="998"/>
      <c r="W45" s="998"/>
      <c r="X45" s="997"/>
      <c r="Y45" s="997"/>
      <c r="Z45" s="997"/>
      <c r="AA45" s="999"/>
      <c r="AB45" s="1000"/>
      <c r="AC45" s="1001"/>
    </row>
    <row r="46" spans="3:29" ht="15.75">
      <c r="C46" s="1796"/>
      <c r="D46" s="1797"/>
      <c r="E46" s="1766"/>
      <c r="F46" s="1768"/>
      <c r="G46" s="1766"/>
      <c r="H46" s="1768"/>
      <c r="I46" s="1772"/>
      <c r="J46" s="1775"/>
      <c r="K46" s="1778"/>
      <c r="L46" s="1018"/>
      <c r="M46" s="1018"/>
      <c r="N46" s="1018">
        <v>10</v>
      </c>
      <c r="O46" s="1018"/>
      <c r="P46" s="1019">
        <v>10</v>
      </c>
      <c r="Q46" s="997"/>
      <c r="R46" s="997"/>
      <c r="S46" s="997"/>
      <c r="T46" s="997"/>
      <c r="U46" s="998"/>
      <c r="V46" s="998"/>
      <c r="W46" s="998"/>
      <c r="X46" s="997"/>
      <c r="Y46" s="997"/>
      <c r="Z46" s="997"/>
      <c r="AA46" s="999"/>
      <c r="AB46" s="1000"/>
      <c r="AC46" s="1001"/>
    </row>
    <row r="47" spans="3:29" ht="16.5" thickBot="1">
      <c r="C47" s="1796"/>
      <c r="D47" s="1797"/>
      <c r="E47" s="1766"/>
      <c r="F47" s="1768"/>
      <c r="G47" s="1766"/>
      <c r="H47" s="1768"/>
      <c r="I47" s="1772"/>
      <c r="J47" s="1775"/>
      <c r="K47" s="1778"/>
      <c r="L47" s="1018"/>
      <c r="M47" s="1018"/>
      <c r="N47" s="1018">
        <v>936</v>
      </c>
      <c r="O47" s="1018">
        <v>936</v>
      </c>
      <c r="P47" s="1019"/>
      <c r="Q47" s="997"/>
      <c r="R47" s="997"/>
      <c r="S47" s="997"/>
      <c r="T47" s="997"/>
      <c r="U47" s="998"/>
      <c r="V47" s="998"/>
      <c r="W47" s="998"/>
      <c r="X47" s="997"/>
      <c r="Y47" s="997"/>
      <c r="Z47" s="997"/>
      <c r="AA47" s="999"/>
      <c r="AB47" s="1000"/>
      <c r="AC47" s="1001"/>
    </row>
    <row r="48" spans="3:29" ht="15.75">
      <c r="C48" s="1617" t="s">
        <v>238</v>
      </c>
      <c r="D48" s="1618"/>
      <c r="E48" s="1662">
        <v>80</v>
      </c>
      <c r="F48" s="1767">
        <f>E48/$E$87</f>
        <v>0.09744214372716199</v>
      </c>
      <c r="G48" s="1662">
        <f>COUNTA(L48:AC57)-3</f>
        <v>22</v>
      </c>
      <c r="H48" s="1767">
        <f>G48/E48</f>
        <v>0.275</v>
      </c>
      <c r="I48" s="1791">
        <v>5064</v>
      </c>
      <c r="J48" s="1774">
        <f>I48/I87</f>
        <v>0.12647668523189887</v>
      </c>
      <c r="K48" s="1777">
        <f>I48/G48</f>
        <v>230.1818181818182</v>
      </c>
      <c r="L48" s="1010"/>
      <c r="M48" s="1010"/>
      <c r="N48" s="1010">
        <v>780</v>
      </c>
      <c r="O48" s="1010">
        <v>780</v>
      </c>
      <c r="P48" s="1011"/>
      <c r="Q48" s="981"/>
      <c r="R48" s="981"/>
      <c r="S48" s="981"/>
      <c r="T48" s="981"/>
      <c r="U48" s="982"/>
      <c r="V48" s="982"/>
      <c r="W48" s="982"/>
      <c r="X48" s="981"/>
      <c r="Y48" s="981"/>
      <c r="Z48" s="981"/>
      <c r="AA48" s="983"/>
      <c r="AB48" s="984"/>
      <c r="AC48" s="985"/>
    </row>
    <row r="49" spans="3:29" ht="15.75">
      <c r="C49" s="1619"/>
      <c r="D49" s="1798"/>
      <c r="E49" s="1766"/>
      <c r="F49" s="1768"/>
      <c r="G49" s="1766"/>
      <c r="H49" s="1768"/>
      <c r="I49" s="1772"/>
      <c r="J49" s="1775"/>
      <c r="K49" s="1778"/>
      <c r="L49" s="1015"/>
      <c r="M49" s="1015">
        <v>355</v>
      </c>
      <c r="N49" s="1015"/>
      <c r="O49" s="1015"/>
      <c r="P49" s="1016">
        <v>355</v>
      </c>
      <c r="Q49" s="989"/>
      <c r="R49" s="989"/>
      <c r="S49" s="989"/>
      <c r="T49" s="989"/>
      <c r="U49" s="990"/>
      <c r="V49" s="990"/>
      <c r="W49" s="990"/>
      <c r="X49" s="989"/>
      <c r="Y49" s="989"/>
      <c r="Z49" s="989"/>
      <c r="AA49" s="991"/>
      <c r="AB49" s="992"/>
      <c r="AC49" s="993">
        <v>612</v>
      </c>
    </row>
    <row r="50" spans="3:29" ht="15.75">
      <c r="C50" s="1619"/>
      <c r="D50" s="1798"/>
      <c r="E50" s="1766"/>
      <c r="F50" s="1768"/>
      <c r="G50" s="1766"/>
      <c r="H50" s="1768"/>
      <c r="I50" s="1772"/>
      <c r="J50" s="1775"/>
      <c r="K50" s="1778"/>
      <c r="L50" s="1018"/>
      <c r="M50" s="1018">
        <v>978</v>
      </c>
      <c r="N50" s="1018"/>
      <c r="O50" s="1018"/>
      <c r="P50" s="1019"/>
      <c r="Q50" s="997">
        <v>414</v>
      </c>
      <c r="R50" s="997"/>
      <c r="S50" s="997"/>
      <c r="T50" s="997">
        <v>812</v>
      </c>
      <c r="U50" s="998"/>
      <c r="V50" s="998"/>
      <c r="W50" s="998"/>
      <c r="X50" s="997"/>
      <c r="Y50" s="997"/>
      <c r="Z50" s="997"/>
      <c r="AA50" s="999"/>
      <c r="AB50" s="1000"/>
      <c r="AC50" s="1001">
        <v>695</v>
      </c>
    </row>
    <row r="51" spans="3:29" ht="15.75">
      <c r="C51" s="1619"/>
      <c r="D51" s="1798"/>
      <c r="E51" s="1766"/>
      <c r="F51" s="1768"/>
      <c r="G51" s="1766"/>
      <c r="H51" s="1768"/>
      <c r="I51" s="1772"/>
      <c r="J51" s="1775"/>
      <c r="K51" s="1778"/>
      <c r="L51" s="1018"/>
      <c r="M51" s="1018">
        <v>372</v>
      </c>
      <c r="N51" s="1018"/>
      <c r="O51" s="1018">
        <v>372</v>
      </c>
      <c r="P51" s="1019"/>
      <c r="Q51" s="997">
        <v>824</v>
      </c>
      <c r="R51" s="997"/>
      <c r="S51" s="997"/>
      <c r="T51" s="997"/>
      <c r="U51" s="998"/>
      <c r="V51" s="998"/>
      <c r="W51" s="998"/>
      <c r="X51" s="997"/>
      <c r="Y51" s="997">
        <v>4</v>
      </c>
      <c r="Z51" s="997"/>
      <c r="AA51" s="999"/>
      <c r="AB51" s="1000"/>
      <c r="AC51" s="1001"/>
    </row>
    <row r="52" spans="3:29" ht="15.75">
      <c r="C52" s="1619"/>
      <c r="D52" s="1798"/>
      <c r="E52" s="1766"/>
      <c r="F52" s="1768"/>
      <c r="G52" s="1766"/>
      <c r="H52" s="1768"/>
      <c r="I52" s="1772"/>
      <c r="J52" s="1775"/>
      <c r="K52" s="1778"/>
      <c r="L52" s="1018"/>
      <c r="M52" s="1018"/>
      <c r="N52" s="1018"/>
      <c r="O52" s="1018"/>
      <c r="P52" s="1019"/>
      <c r="Q52" s="997">
        <v>350</v>
      </c>
      <c r="R52" s="997"/>
      <c r="S52" s="997"/>
      <c r="T52" s="997">
        <v>910</v>
      </c>
      <c r="U52" s="998"/>
      <c r="V52" s="998"/>
      <c r="W52" s="998"/>
      <c r="X52" s="997"/>
      <c r="Y52" s="997"/>
      <c r="Z52" s="997"/>
      <c r="AA52" s="999"/>
      <c r="AB52" s="1000"/>
      <c r="AC52" s="1001">
        <v>489</v>
      </c>
    </row>
    <row r="53" spans="3:29" ht="15.75">
      <c r="C53" s="1619"/>
      <c r="D53" s="1798"/>
      <c r="E53" s="1766"/>
      <c r="F53" s="1768"/>
      <c r="G53" s="1766"/>
      <c r="H53" s="1768"/>
      <c r="I53" s="1772"/>
      <c r="J53" s="1775"/>
      <c r="K53" s="1778"/>
      <c r="L53" s="1018"/>
      <c r="M53" s="1018"/>
      <c r="N53" s="1018"/>
      <c r="O53" s="1018"/>
      <c r="P53" s="1019"/>
      <c r="Q53" s="997">
        <v>972</v>
      </c>
      <c r="R53" s="997"/>
      <c r="S53" s="997"/>
      <c r="T53" s="997">
        <v>166</v>
      </c>
      <c r="U53" s="998"/>
      <c r="V53" s="998"/>
      <c r="W53" s="998"/>
      <c r="X53" s="997"/>
      <c r="Y53" s="997">
        <v>239</v>
      </c>
      <c r="Z53" s="997"/>
      <c r="AA53" s="999"/>
      <c r="AB53" s="1000"/>
      <c r="AC53" s="1001">
        <v>1527</v>
      </c>
    </row>
    <row r="54" spans="3:29" ht="15.75">
      <c r="C54" s="1619"/>
      <c r="D54" s="1798"/>
      <c r="E54" s="1766"/>
      <c r="F54" s="1768"/>
      <c r="G54" s="1766"/>
      <c r="H54" s="1768"/>
      <c r="I54" s="1772"/>
      <c r="J54" s="1775"/>
      <c r="K54" s="1778"/>
      <c r="L54" s="1018"/>
      <c r="M54" s="1018"/>
      <c r="N54" s="1018"/>
      <c r="O54" s="1018"/>
      <c r="P54" s="1019"/>
      <c r="Q54" s="997"/>
      <c r="R54" s="997">
        <v>441</v>
      </c>
      <c r="S54" s="997"/>
      <c r="T54" s="997"/>
      <c r="U54" s="998"/>
      <c r="V54" s="998"/>
      <c r="W54" s="998"/>
      <c r="X54" s="997"/>
      <c r="Y54" s="997"/>
      <c r="Z54" s="997"/>
      <c r="AA54" s="999"/>
      <c r="AB54" s="1000"/>
      <c r="AC54" s="1001"/>
    </row>
    <row r="55" spans="3:29" ht="15.75">
      <c r="C55" s="1619"/>
      <c r="D55" s="1798"/>
      <c r="E55" s="1766"/>
      <c r="F55" s="1768"/>
      <c r="G55" s="1766"/>
      <c r="H55" s="1768"/>
      <c r="I55" s="1772"/>
      <c r="J55" s="1775"/>
      <c r="K55" s="1778"/>
      <c r="L55" s="1018">
        <v>599</v>
      </c>
      <c r="M55" s="1018"/>
      <c r="N55" s="1018"/>
      <c r="O55" s="1018"/>
      <c r="P55" s="1019"/>
      <c r="Q55" s="997">
        <v>822</v>
      </c>
      <c r="R55" s="997">
        <v>1598</v>
      </c>
      <c r="S55" s="997">
        <v>756</v>
      </c>
      <c r="T55" s="997"/>
      <c r="U55" s="998"/>
      <c r="V55" s="998"/>
      <c r="W55" s="998"/>
      <c r="X55" s="997"/>
      <c r="Y55" s="997"/>
      <c r="Z55" s="997"/>
      <c r="AA55" s="999"/>
      <c r="AB55" s="1000"/>
      <c r="AC55" s="1001"/>
    </row>
    <row r="56" spans="3:29" ht="15.75">
      <c r="C56" s="1619"/>
      <c r="D56" s="1798"/>
      <c r="E56" s="1766"/>
      <c r="F56" s="1768"/>
      <c r="G56" s="1766"/>
      <c r="H56" s="1768"/>
      <c r="I56" s="1772"/>
      <c r="J56" s="1775"/>
      <c r="K56" s="1778"/>
      <c r="L56" s="1018"/>
      <c r="M56" s="1018"/>
      <c r="N56" s="1018"/>
      <c r="O56" s="1018"/>
      <c r="P56" s="1019"/>
      <c r="Q56" s="997"/>
      <c r="R56" s="997"/>
      <c r="S56" s="997"/>
      <c r="T56" s="997"/>
      <c r="U56" s="998"/>
      <c r="V56" s="998"/>
      <c r="W56" s="998"/>
      <c r="X56" s="997"/>
      <c r="Y56" s="997"/>
      <c r="Z56" s="997"/>
      <c r="AA56" s="999"/>
      <c r="AB56" s="1000"/>
      <c r="AC56" s="1001"/>
    </row>
    <row r="57" spans="3:29" ht="16.5" thickBot="1">
      <c r="C57" s="1621"/>
      <c r="D57" s="1622"/>
      <c r="E57" s="1663"/>
      <c r="F57" s="1769"/>
      <c r="G57" s="1663"/>
      <c r="H57" s="1769"/>
      <c r="I57" s="1773"/>
      <c r="J57" s="1776"/>
      <c r="K57" s="1779"/>
      <c r="L57" s="1003"/>
      <c r="M57" s="1003"/>
      <c r="N57" s="1003"/>
      <c r="O57" s="1003"/>
      <c r="P57" s="1004"/>
      <c r="Q57" s="1005"/>
      <c r="R57" s="1005"/>
      <c r="S57" s="1005"/>
      <c r="T57" s="1005"/>
      <c r="U57" s="1006"/>
      <c r="V57" s="1006"/>
      <c r="W57" s="1006"/>
      <c r="X57" s="1005"/>
      <c r="Y57" s="1005"/>
      <c r="Z57" s="1005"/>
      <c r="AA57" s="1007"/>
      <c r="AB57" s="1008"/>
      <c r="AC57" s="1009"/>
    </row>
    <row r="58" spans="3:29" ht="15.75">
      <c r="C58" s="1799" t="s">
        <v>239</v>
      </c>
      <c r="D58" s="1800"/>
      <c r="E58" s="1803">
        <v>109</v>
      </c>
      <c r="F58" s="1805">
        <f>E58/$E$87</f>
        <v>0.13276492082825822</v>
      </c>
      <c r="G58" s="1662">
        <f>COUNTA(L58:AC65)-4</f>
        <v>23</v>
      </c>
      <c r="H58" s="1767">
        <f>G58/E58</f>
        <v>0.21100917431192662</v>
      </c>
      <c r="I58" s="1791">
        <v>5010.51</v>
      </c>
      <c r="J58" s="1774">
        <f>I58/I87</f>
        <v>0.12514073778066384</v>
      </c>
      <c r="K58" s="1777">
        <f>I58/G58</f>
        <v>217.84826086956522</v>
      </c>
      <c r="L58" s="1010"/>
      <c r="M58" s="1010">
        <v>177</v>
      </c>
      <c r="N58" s="1010">
        <v>198</v>
      </c>
      <c r="O58" s="1010"/>
      <c r="P58" s="1011"/>
      <c r="Q58" s="981"/>
      <c r="R58" s="981"/>
      <c r="S58" s="981"/>
      <c r="T58" s="981">
        <v>625</v>
      </c>
      <c r="U58" s="982"/>
      <c r="V58" s="982"/>
      <c r="W58" s="982"/>
      <c r="X58" s="981">
        <v>426</v>
      </c>
      <c r="Y58" s="981"/>
      <c r="Z58" s="981"/>
      <c r="AA58" s="983"/>
      <c r="AB58" s="984">
        <v>73</v>
      </c>
      <c r="AC58" s="985">
        <v>618</v>
      </c>
    </row>
    <row r="59" spans="3:29" ht="15.75">
      <c r="C59" s="1801"/>
      <c r="D59" s="1802"/>
      <c r="E59" s="1804"/>
      <c r="F59" s="1806"/>
      <c r="G59" s="1766"/>
      <c r="H59" s="1768"/>
      <c r="I59" s="1772"/>
      <c r="J59" s="1775"/>
      <c r="K59" s="1778"/>
      <c r="L59" s="1015"/>
      <c r="M59" s="1015">
        <v>758</v>
      </c>
      <c r="N59" s="1015">
        <v>401</v>
      </c>
      <c r="O59" s="1015"/>
      <c r="P59" s="1016"/>
      <c r="Q59" s="989">
        <v>447</v>
      </c>
      <c r="R59" s="989"/>
      <c r="S59" s="989"/>
      <c r="T59" s="989">
        <v>851</v>
      </c>
      <c r="U59" s="990"/>
      <c r="V59" s="990"/>
      <c r="W59" s="990"/>
      <c r="X59" s="989">
        <v>694</v>
      </c>
      <c r="Y59" s="989"/>
      <c r="Z59" s="989"/>
      <c r="AA59" s="991"/>
      <c r="AB59" s="992">
        <v>48</v>
      </c>
      <c r="AC59" s="993"/>
    </row>
    <row r="60" spans="3:29" ht="15.75">
      <c r="C60" s="1801"/>
      <c r="D60" s="1802"/>
      <c r="E60" s="1804"/>
      <c r="F60" s="1806"/>
      <c r="G60" s="1766"/>
      <c r="H60" s="1768"/>
      <c r="I60" s="1772"/>
      <c r="J60" s="1775"/>
      <c r="K60" s="1778"/>
      <c r="L60" s="1018"/>
      <c r="M60" s="1018">
        <v>336</v>
      </c>
      <c r="N60" s="1018">
        <v>285</v>
      </c>
      <c r="O60" s="1018"/>
      <c r="P60" s="1019">
        <v>336</v>
      </c>
      <c r="Q60" s="997">
        <v>155</v>
      </c>
      <c r="R60" s="997"/>
      <c r="S60" s="997"/>
      <c r="T60" s="997"/>
      <c r="U60" s="998"/>
      <c r="V60" s="998"/>
      <c r="W60" s="998"/>
      <c r="X60" s="997"/>
      <c r="Y60" s="997"/>
      <c r="Z60" s="997"/>
      <c r="AA60" s="999"/>
      <c r="AB60" s="1000"/>
      <c r="AC60" s="1001"/>
    </row>
    <row r="61" spans="3:29" ht="15.75">
      <c r="C61" s="1801"/>
      <c r="D61" s="1802"/>
      <c r="E61" s="1804"/>
      <c r="F61" s="1806"/>
      <c r="G61" s="1766"/>
      <c r="H61" s="1768"/>
      <c r="I61" s="1772"/>
      <c r="J61" s="1775"/>
      <c r="K61" s="1778"/>
      <c r="L61" s="1018"/>
      <c r="M61" s="1018">
        <v>20</v>
      </c>
      <c r="N61" s="1018"/>
      <c r="O61" s="1018"/>
      <c r="P61" s="1019">
        <v>20</v>
      </c>
      <c r="Q61" s="997"/>
      <c r="R61" s="997"/>
      <c r="S61" s="997"/>
      <c r="T61" s="997"/>
      <c r="U61" s="998"/>
      <c r="V61" s="998"/>
      <c r="W61" s="998"/>
      <c r="X61" s="997"/>
      <c r="Y61" s="997"/>
      <c r="Z61" s="997"/>
      <c r="AA61" s="999"/>
      <c r="AB61" s="1000"/>
      <c r="AC61" s="1001"/>
    </row>
    <row r="62" spans="3:29" ht="15.75">
      <c r="C62" s="1801"/>
      <c r="D62" s="1802"/>
      <c r="E62" s="1804"/>
      <c r="F62" s="1806"/>
      <c r="G62" s="1766"/>
      <c r="H62" s="1768"/>
      <c r="I62" s="1772"/>
      <c r="J62" s="1775"/>
      <c r="K62" s="1778"/>
      <c r="L62" s="1018"/>
      <c r="M62" s="1018">
        <v>1585</v>
      </c>
      <c r="N62" s="1018">
        <v>819</v>
      </c>
      <c r="O62" s="1018"/>
      <c r="P62" s="1019"/>
      <c r="Q62" s="997">
        <v>1597</v>
      </c>
      <c r="R62" s="997"/>
      <c r="S62" s="997"/>
      <c r="T62" s="997"/>
      <c r="U62" s="998"/>
      <c r="V62" s="998"/>
      <c r="W62" s="998"/>
      <c r="X62" s="997"/>
      <c r="Y62" s="997"/>
      <c r="Z62" s="997"/>
      <c r="AA62" s="999"/>
      <c r="AB62" s="1000"/>
      <c r="AC62" s="1001"/>
    </row>
    <row r="63" spans="3:29" ht="15.75">
      <c r="C63" s="1801"/>
      <c r="D63" s="1802"/>
      <c r="E63" s="1804"/>
      <c r="F63" s="1806"/>
      <c r="G63" s="1766"/>
      <c r="H63" s="1768"/>
      <c r="I63" s="1772"/>
      <c r="J63" s="1775"/>
      <c r="K63" s="1778"/>
      <c r="L63" s="1018"/>
      <c r="M63" s="1018">
        <v>476</v>
      </c>
      <c r="N63" s="1018"/>
      <c r="O63" s="1018"/>
      <c r="P63" s="1019"/>
      <c r="Q63" s="997">
        <v>57</v>
      </c>
      <c r="R63" s="997"/>
      <c r="S63" s="997"/>
      <c r="T63" s="997"/>
      <c r="U63" s="998"/>
      <c r="V63" s="998"/>
      <c r="W63" s="998"/>
      <c r="X63" s="997"/>
      <c r="Y63" s="997"/>
      <c r="Z63" s="997"/>
      <c r="AA63" s="999"/>
      <c r="AB63" s="1000"/>
      <c r="AC63" s="1001"/>
    </row>
    <row r="64" spans="3:29" ht="15.75">
      <c r="C64" s="1801"/>
      <c r="D64" s="1802"/>
      <c r="E64" s="1804"/>
      <c r="F64" s="1806"/>
      <c r="G64" s="1766"/>
      <c r="H64" s="1768"/>
      <c r="I64" s="1772"/>
      <c r="J64" s="1775"/>
      <c r="K64" s="1778"/>
      <c r="L64" s="1018"/>
      <c r="M64" s="1018">
        <v>62</v>
      </c>
      <c r="N64" s="1018"/>
      <c r="O64" s="1018"/>
      <c r="P64" s="1019">
        <v>62</v>
      </c>
      <c r="Q64" s="997"/>
      <c r="R64" s="997"/>
      <c r="S64" s="997"/>
      <c r="T64" s="997"/>
      <c r="U64" s="998"/>
      <c r="V64" s="998"/>
      <c r="W64" s="998"/>
      <c r="X64" s="997"/>
      <c r="Y64" s="997"/>
      <c r="Z64" s="997"/>
      <c r="AA64" s="999"/>
      <c r="AB64" s="1000"/>
      <c r="AC64" s="1001"/>
    </row>
    <row r="65" spans="3:29" ht="16.5" thickBot="1">
      <c r="C65" s="1801"/>
      <c r="D65" s="1802"/>
      <c r="E65" s="1804"/>
      <c r="F65" s="1806"/>
      <c r="G65" s="1766"/>
      <c r="H65" s="1768"/>
      <c r="I65" s="1772"/>
      <c r="J65" s="1775"/>
      <c r="K65" s="1778"/>
      <c r="L65" s="1018"/>
      <c r="M65" s="1018">
        <v>146</v>
      </c>
      <c r="N65" s="1018"/>
      <c r="O65" s="1018"/>
      <c r="P65" s="1019"/>
      <c r="Q65" s="997">
        <v>694</v>
      </c>
      <c r="R65" s="997"/>
      <c r="S65" s="997"/>
      <c r="T65" s="997"/>
      <c r="U65" s="998"/>
      <c r="V65" s="998"/>
      <c r="W65" s="998"/>
      <c r="X65" s="997"/>
      <c r="Y65" s="997"/>
      <c r="Z65" s="997"/>
      <c r="AA65" s="999"/>
      <c r="AB65" s="1000"/>
      <c r="AC65" s="1001"/>
    </row>
    <row r="66" spans="3:29" ht="15.75">
      <c r="C66" s="1617" t="s">
        <v>240</v>
      </c>
      <c r="D66" s="1618"/>
      <c r="E66" s="1662">
        <v>40</v>
      </c>
      <c r="F66" s="1767">
        <f>E66/$E$87</f>
        <v>0.048721071863580996</v>
      </c>
      <c r="G66" s="1662">
        <f>COUNTA(L66:AC68)-2</f>
        <v>4</v>
      </c>
      <c r="H66" s="1767">
        <f>G66/E66</f>
        <v>0.1</v>
      </c>
      <c r="I66" s="1791">
        <f>$L$5*COUNTA(L66:L68)+$M$5*COUNTA(M66:M68)+$O$5*COUNTA(O66:O68)+$P$5*COUNTA(P66:P68)+$Q$5*COUNTA(Q66:Q68)+$R$5*COUNTA(R66:R68)+$S$5*COUNTA(S66:S68)+$T$5*COUNTA(T66:T68)+$U$5*COUNTA(U66:U68)+$X$5*COUNTA(X66:X68)+$Y$5*COUNTA(Y66:Y68)+$Z$5*COUNTA(Z66:Z68)+$AB$5*COUNTA(AB66:AB68)+$AC$5*COUNTA(AC66:AC68)+$N$5*COUNTA(N66:N68)+$V$5*COUNTA(V66:V68)</f>
        <v>1044.4499999999998</v>
      </c>
      <c r="J66" s="1774">
        <f>I66/I87</f>
        <v>0.02608581632907914</v>
      </c>
      <c r="K66" s="1807">
        <f>I66/G66</f>
        <v>261.11249999999995</v>
      </c>
      <c r="L66" s="1010">
        <v>1674</v>
      </c>
      <c r="M66" s="1010"/>
      <c r="N66" s="1010"/>
      <c r="O66" s="1010"/>
      <c r="P66" s="1011"/>
      <c r="Q66" s="981"/>
      <c r="R66" s="981"/>
      <c r="S66" s="981"/>
      <c r="T66" s="981">
        <v>245</v>
      </c>
      <c r="U66" s="982"/>
      <c r="V66" s="982"/>
      <c r="W66" s="982"/>
      <c r="X66" s="981">
        <v>1674</v>
      </c>
      <c r="Y66" s="981"/>
      <c r="Z66" s="981"/>
      <c r="AA66" s="983"/>
      <c r="AB66" s="984"/>
      <c r="AC66" s="985"/>
    </row>
    <row r="67" spans="3:29" ht="15.75">
      <c r="C67" s="1619"/>
      <c r="D67" s="1798"/>
      <c r="E67" s="1766"/>
      <c r="F67" s="1768"/>
      <c r="G67" s="1766"/>
      <c r="H67" s="1768"/>
      <c r="I67" s="1772"/>
      <c r="J67" s="1775"/>
      <c r="K67" s="1808"/>
      <c r="L67" s="1015"/>
      <c r="M67" s="1015"/>
      <c r="N67" s="1015">
        <v>955</v>
      </c>
      <c r="O67" s="1015"/>
      <c r="P67" s="1016">
        <v>955</v>
      </c>
      <c r="Q67" s="989"/>
      <c r="R67" s="989"/>
      <c r="S67" s="989"/>
      <c r="T67" s="989"/>
      <c r="U67" s="990"/>
      <c r="V67" s="990"/>
      <c r="W67" s="990"/>
      <c r="X67" s="989"/>
      <c r="Y67" s="989"/>
      <c r="Z67" s="989"/>
      <c r="AA67" s="991"/>
      <c r="AB67" s="992">
        <v>732</v>
      </c>
      <c r="AC67" s="993"/>
    </row>
    <row r="68" spans="3:29" ht="16.5" thickBot="1">
      <c r="C68" s="1621"/>
      <c r="D68" s="1622"/>
      <c r="E68" s="1663"/>
      <c r="F68" s="1769"/>
      <c r="G68" s="1663"/>
      <c r="H68" s="1769"/>
      <c r="I68" s="1773"/>
      <c r="J68" s="1776"/>
      <c r="K68" s="1809"/>
      <c r="L68" s="1017"/>
      <c r="M68" s="1017"/>
      <c r="N68" s="1017"/>
      <c r="O68" s="1017"/>
      <c r="P68" s="1004"/>
      <c r="Q68" s="1005"/>
      <c r="R68" s="1005"/>
      <c r="S68" s="1005"/>
      <c r="T68" s="1005"/>
      <c r="U68" s="1006"/>
      <c r="V68" s="1006"/>
      <c r="W68" s="1006"/>
      <c r="X68" s="1005"/>
      <c r="Y68" s="1005"/>
      <c r="Z68" s="1005"/>
      <c r="AA68" s="1007"/>
      <c r="AB68" s="1008"/>
      <c r="AC68" s="1009"/>
    </row>
    <row r="69" spans="3:29" ht="15.75">
      <c r="C69" s="1810" t="s">
        <v>241</v>
      </c>
      <c r="D69" s="1811"/>
      <c r="E69" s="1820">
        <v>90</v>
      </c>
      <c r="F69" s="1825">
        <f>E69/$E$87</f>
        <v>0.10962241169305725</v>
      </c>
      <c r="G69" s="1788">
        <f>COUNTA(L69:AC74)-1</f>
        <v>24</v>
      </c>
      <c r="H69" s="1830">
        <f>G69/E69</f>
        <v>0.26666666666666666</v>
      </c>
      <c r="I69" s="1791">
        <f>$L$5*COUNTA(L69:L74)+$M$5*COUNTA(M69:M74)+$O$5*COUNTA(O69:O74)+$P$5*COUNTA(P69:P74)+$Q$5*COUNTA(Q69:Q74)+$R$5*COUNTA(R69:R74)+$S$5*COUNTA(S69:S74)+$T$5*COUNTA(T69:T74)+$U$5*COUNTA(U69:U74)+$X$5*COUNTA(X69:X74)+$Y$5*COUNTA(Y69:Y74)+$Z$5*COUNTA(Z69:Z74)+$AB$5*COUNTA(AB69:AB74)+$AC$5*COUNTA(AC69:AC74)+$N$5*COUNTA(N69:N74)+$V$5*COUNTA(V69:V74)</f>
        <v>4840.780000000001</v>
      </c>
      <c r="J69" s="1833">
        <f>I69/I87</f>
        <v>0.12090162091960338</v>
      </c>
      <c r="K69" s="1777">
        <f>I69/G69</f>
        <v>201.69916666666668</v>
      </c>
      <c r="L69" s="1010"/>
      <c r="M69" s="1010">
        <v>406</v>
      </c>
      <c r="N69" s="1010">
        <v>294</v>
      </c>
      <c r="O69" s="1010"/>
      <c r="P69" s="1011">
        <v>325</v>
      </c>
      <c r="Q69" s="981">
        <v>280</v>
      </c>
      <c r="R69" s="981"/>
      <c r="S69" s="981"/>
      <c r="T69" s="981">
        <v>465</v>
      </c>
      <c r="U69" s="982">
        <v>294</v>
      </c>
      <c r="V69" s="982"/>
      <c r="W69" s="982"/>
      <c r="X69" s="981">
        <v>816</v>
      </c>
      <c r="Y69" s="981">
        <v>993</v>
      </c>
      <c r="Z69" s="981"/>
      <c r="AA69" s="983">
        <v>1541</v>
      </c>
      <c r="AB69" s="984">
        <v>634</v>
      </c>
      <c r="AC69" s="985">
        <v>235</v>
      </c>
    </row>
    <row r="70" spans="3:29" ht="15.75">
      <c r="C70" s="1812"/>
      <c r="D70" s="1813"/>
      <c r="E70" s="1821"/>
      <c r="F70" s="1826"/>
      <c r="G70" s="1789"/>
      <c r="H70" s="1831"/>
      <c r="I70" s="1772"/>
      <c r="J70" s="1834"/>
      <c r="K70" s="1778"/>
      <c r="L70" s="1015"/>
      <c r="M70" s="1015"/>
      <c r="N70" s="1015">
        <v>195</v>
      </c>
      <c r="O70" s="1015"/>
      <c r="P70" s="1016">
        <v>97</v>
      </c>
      <c r="Q70" s="989">
        <v>1681</v>
      </c>
      <c r="R70" s="989"/>
      <c r="S70" s="989"/>
      <c r="T70" s="989">
        <v>354</v>
      </c>
      <c r="U70" s="990"/>
      <c r="V70" s="990"/>
      <c r="W70" s="990"/>
      <c r="X70" s="989"/>
      <c r="Y70" s="989"/>
      <c r="Z70" s="989"/>
      <c r="AA70" s="991"/>
      <c r="AB70" s="992">
        <v>621</v>
      </c>
      <c r="AC70" s="993">
        <v>1611</v>
      </c>
    </row>
    <row r="71" spans="3:29" ht="15.75">
      <c r="C71" s="1814"/>
      <c r="D71" s="1815"/>
      <c r="E71" s="1822"/>
      <c r="F71" s="1827"/>
      <c r="G71" s="1789"/>
      <c r="H71" s="1831"/>
      <c r="I71" s="1772"/>
      <c r="J71" s="1834"/>
      <c r="K71" s="1778"/>
      <c r="L71" s="1015"/>
      <c r="M71" s="1015"/>
      <c r="N71" s="1015">
        <v>72</v>
      </c>
      <c r="O71" s="1015"/>
      <c r="P71" s="1016"/>
      <c r="Q71" s="989">
        <v>112</v>
      </c>
      <c r="R71" s="989"/>
      <c r="S71" s="989"/>
      <c r="T71" s="989">
        <v>761</v>
      </c>
      <c r="U71" s="990"/>
      <c r="V71" s="990"/>
      <c r="W71" s="990"/>
      <c r="X71" s="989"/>
      <c r="Y71" s="989"/>
      <c r="Z71" s="989"/>
      <c r="AA71" s="991"/>
      <c r="AB71" s="992">
        <v>574</v>
      </c>
      <c r="AC71" s="993"/>
    </row>
    <row r="72" spans="3:29" ht="15.75">
      <c r="C72" s="1816"/>
      <c r="D72" s="1817"/>
      <c r="E72" s="1823"/>
      <c r="F72" s="1828"/>
      <c r="G72" s="1789"/>
      <c r="H72" s="1831"/>
      <c r="I72" s="1772"/>
      <c r="J72" s="1834"/>
      <c r="K72" s="1778"/>
      <c r="L72" s="1018"/>
      <c r="M72" s="1018"/>
      <c r="N72" s="1018">
        <v>1550</v>
      </c>
      <c r="O72" s="1018"/>
      <c r="P72" s="1019">
        <v>1550</v>
      </c>
      <c r="Q72" s="997">
        <v>646</v>
      </c>
      <c r="R72" s="997"/>
      <c r="S72" s="997"/>
      <c r="T72" s="997"/>
      <c r="U72" s="998"/>
      <c r="V72" s="998"/>
      <c r="W72" s="998"/>
      <c r="X72" s="997"/>
      <c r="Y72" s="997"/>
      <c r="Z72" s="997"/>
      <c r="AA72" s="999"/>
      <c r="AB72" s="1000"/>
      <c r="AC72" s="1001"/>
    </row>
    <row r="73" spans="3:29" ht="15.75">
      <c r="C73" s="1816"/>
      <c r="D73" s="1817"/>
      <c r="E73" s="1823"/>
      <c r="F73" s="1828"/>
      <c r="G73" s="1789"/>
      <c r="H73" s="1831"/>
      <c r="I73" s="1772"/>
      <c r="J73" s="1834"/>
      <c r="K73" s="1778"/>
      <c r="L73" s="1018"/>
      <c r="M73" s="1018"/>
      <c r="N73" s="1018"/>
      <c r="O73" s="1018"/>
      <c r="P73" s="1019"/>
      <c r="Q73" s="997">
        <v>464</v>
      </c>
      <c r="R73" s="997"/>
      <c r="S73" s="997"/>
      <c r="T73" s="997"/>
      <c r="U73" s="998"/>
      <c r="V73" s="998"/>
      <c r="W73" s="998"/>
      <c r="X73" s="997"/>
      <c r="Y73" s="997"/>
      <c r="Z73" s="997"/>
      <c r="AA73" s="999"/>
      <c r="AB73" s="1000"/>
      <c r="AC73" s="1001"/>
    </row>
    <row r="74" spans="3:29" ht="16.5" thickBot="1">
      <c r="C74" s="1818"/>
      <c r="D74" s="1819"/>
      <c r="E74" s="1824"/>
      <c r="F74" s="1829"/>
      <c r="G74" s="1790"/>
      <c r="H74" s="1832"/>
      <c r="I74" s="1773"/>
      <c r="J74" s="1835"/>
      <c r="K74" s="1779"/>
      <c r="L74" s="1003"/>
      <c r="M74" s="1003"/>
      <c r="N74" s="1003"/>
      <c r="O74" s="1003"/>
      <c r="P74" s="1004"/>
      <c r="Q74" s="1005"/>
      <c r="R74" s="1005"/>
      <c r="S74" s="1005"/>
      <c r="T74" s="1005"/>
      <c r="U74" s="1006"/>
      <c r="V74" s="1006"/>
      <c r="W74" s="1006"/>
      <c r="X74" s="1005"/>
      <c r="Y74" s="1005"/>
      <c r="Z74" s="1005"/>
      <c r="AA74" s="1007"/>
      <c r="AB74" s="1008"/>
      <c r="AC74" s="1009"/>
    </row>
    <row r="75" spans="3:29" ht="15.75">
      <c r="C75" s="1801" t="s">
        <v>243</v>
      </c>
      <c r="D75" s="1802"/>
      <c r="E75" s="1804">
        <v>47</v>
      </c>
      <c r="F75" s="1806">
        <f>E75/$E$87</f>
        <v>0.057247259439707675</v>
      </c>
      <c r="G75" s="1662">
        <f>COUNTA(L75:AC81)-6</f>
        <v>10</v>
      </c>
      <c r="H75" s="1767">
        <f>G75/E75</f>
        <v>0.2127659574468085</v>
      </c>
      <c r="I75" s="1791">
        <f>$L$5*COUNTA(L75:L81)+$M$5*COUNTA(M75:M81)+$O$5*COUNTA(O75:O81)+$P$5*COUNTA(P75:P81)+$Q$5*COUNTA(Q75:Q81)+$R$5*COUNTA(R75:R81)+$S$5*COUNTA(S75:S81)+$T$5*COUNTA(T75:T81)+$U$5*COUNTA(U75:U81)+$X$5*COUNTA(X75:X81)+$Y$5*COUNTA(Y75:Y81)+$Z$5*COUNTA(Z75:Z81)+$AB$5*COUNTA(AB75:AB81)+$AC$5*COUNTA(AC75:AC81)+$N$5*COUNTA(N75:N81)+$N$5*COUNTA(V75:V81)</f>
        <v>2692.6800000000003</v>
      </c>
      <c r="J75" s="1774">
        <f>I75/I87</f>
        <v>0.0672514298558905</v>
      </c>
      <c r="K75" s="1777">
        <f>I75/G75</f>
        <v>269.26800000000003</v>
      </c>
      <c r="L75" s="1010"/>
      <c r="M75" s="1010">
        <v>460</v>
      </c>
      <c r="N75" s="1010"/>
      <c r="O75" s="1010">
        <v>460</v>
      </c>
      <c r="P75" s="1011"/>
      <c r="Q75" s="981"/>
      <c r="R75" s="981"/>
      <c r="S75" s="981"/>
      <c r="T75" s="981"/>
      <c r="U75" s="982"/>
      <c r="V75" s="982"/>
      <c r="W75" s="982"/>
      <c r="X75" s="981"/>
      <c r="Y75" s="981"/>
      <c r="Z75" s="981"/>
      <c r="AA75" s="983"/>
      <c r="AB75" s="984"/>
      <c r="AC75" s="985"/>
    </row>
    <row r="76" spans="3:29" ht="15.75">
      <c r="C76" s="1801"/>
      <c r="D76" s="1802"/>
      <c r="E76" s="1804"/>
      <c r="F76" s="1806"/>
      <c r="G76" s="1766"/>
      <c r="H76" s="1768"/>
      <c r="I76" s="1772"/>
      <c r="J76" s="1775"/>
      <c r="K76" s="1778"/>
      <c r="L76" s="1015"/>
      <c r="M76" s="1015"/>
      <c r="N76" s="1015">
        <v>964</v>
      </c>
      <c r="O76" s="1015">
        <v>964</v>
      </c>
      <c r="P76" s="1016"/>
      <c r="Q76" s="989"/>
      <c r="R76" s="989"/>
      <c r="S76" s="989"/>
      <c r="T76" s="989"/>
      <c r="U76" s="990"/>
      <c r="V76" s="990"/>
      <c r="W76" s="990"/>
      <c r="X76" s="989">
        <v>597</v>
      </c>
      <c r="Y76" s="989"/>
      <c r="Z76" s="989"/>
      <c r="AA76" s="991"/>
      <c r="AB76" s="992"/>
      <c r="AC76" s="993"/>
    </row>
    <row r="77" spans="3:29" ht="15.75">
      <c r="C77" s="1801"/>
      <c r="D77" s="1802"/>
      <c r="E77" s="1804"/>
      <c r="F77" s="1806"/>
      <c r="G77" s="1766"/>
      <c r="H77" s="1768"/>
      <c r="I77" s="1772"/>
      <c r="J77" s="1775"/>
      <c r="K77" s="1778"/>
      <c r="L77" s="1018"/>
      <c r="M77" s="1018"/>
      <c r="N77" s="1018"/>
      <c r="O77" s="1018"/>
      <c r="P77" s="1019"/>
      <c r="Q77" s="1022"/>
      <c r="R77" s="997"/>
      <c r="S77" s="997"/>
      <c r="T77" s="997"/>
      <c r="U77" s="998"/>
      <c r="V77" s="998"/>
      <c r="W77" s="998"/>
      <c r="X77" s="997"/>
      <c r="Y77" s="997">
        <v>171</v>
      </c>
      <c r="Z77" s="997"/>
      <c r="AA77" s="999"/>
      <c r="AB77" s="1000"/>
      <c r="AC77" s="1001"/>
    </row>
    <row r="78" spans="3:29" ht="15.75">
      <c r="C78" s="1801"/>
      <c r="D78" s="1802"/>
      <c r="E78" s="1804"/>
      <c r="F78" s="1806"/>
      <c r="G78" s="1766"/>
      <c r="H78" s="1768"/>
      <c r="I78" s="1772"/>
      <c r="J78" s="1775"/>
      <c r="K78" s="1778"/>
      <c r="L78" s="1018"/>
      <c r="M78" s="1018"/>
      <c r="N78" s="1018"/>
      <c r="O78" s="1018"/>
      <c r="P78" s="1019"/>
      <c r="Q78" s="997">
        <v>186</v>
      </c>
      <c r="R78" s="997"/>
      <c r="S78" s="997"/>
      <c r="T78" s="997"/>
      <c r="U78" s="998"/>
      <c r="V78" s="998"/>
      <c r="W78" s="998"/>
      <c r="X78" s="997">
        <v>186</v>
      </c>
      <c r="Y78" s="997"/>
      <c r="Z78" s="997"/>
      <c r="AA78" s="999"/>
      <c r="AB78" s="1000"/>
      <c r="AC78" s="1001"/>
    </row>
    <row r="79" spans="3:29" ht="15.75">
      <c r="C79" s="1801"/>
      <c r="D79" s="1802"/>
      <c r="E79" s="1804"/>
      <c r="F79" s="1806"/>
      <c r="G79" s="1766"/>
      <c r="H79" s="1768"/>
      <c r="I79" s="1772"/>
      <c r="J79" s="1775"/>
      <c r="K79" s="1778"/>
      <c r="L79" s="1018"/>
      <c r="M79" s="1018"/>
      <c r="N79" s="1018">
        <v>959</v>
      </c>
      <c r="O79" s="1018"/>
      <c r="P79" s="1019">
        <v>895</v>
      </c>
      <c r="Q79" s="997"/>
      <c r="R79" s="997"/>
      <c r="S79" s="997"/>
      <c r="T79" s="997">
        <v>895</v>
      </c>
      <c r="U79" s="998"/>
      <c r="V79" s="998"/>
      <c r="W79" s="998"/>
      <c r="X79" s="997"/>
      <c r="Y79" s="997"/>
      <c r="Z79" s="997"/>
      <c r="AA79" s="999"/>
      <c r="AB79" s="1000"/>
      <c r="AC79" s="1001"/>
    </row>
    <row r="80" spans="3:29" ht="15.75">
      <c r="C80" s="1801"/>
      <c r="D80" s="1802"/>
      <c r="E80" s="1804"/>
      <c r="F80" s="1806"/>
      <c r="G80" s="1766"/>
      <c r="H80" s="1768"/>
      <c r="I80" s="1772"/>
      <c r="J80" s="1775"/>
      <c r="K80" s="1778"/>
      <c r="L80" s="1018"/>
      <c r="M80" s="1018"/>
      <c r="N80" s="1018">
        <v>394</v>
      </c>
      <c r="O80" s="1018"/>
      <c r="P80" s="1019">
        <v>739</v>
      </c>
      <c r="Q80" s="997"/>
      <c r="R80" s="997"/>
      <c r="S80" s="997"/>
      <c r="T80" s="997"/>
      <c r="U80" s="998"/>
      <c r="V80" s="998"/>
      <c r="W80" s="998"/>
      <c r="X80" s="997"/>
      <c r="Y80" s="997"/>
      <c r="Z80" s="997"/>
      <c r="AA80" s="999"/>
      <c r="AB80" s="1000"/>
      <c r="AC80" s="1001"/>
    </row>
    <row r="81" spans="3:29" ht="16.5" thickBot="1">
      <c r="C81" s="1836"/>
      <c r="D81" s="1837"/>
      <c r="E81" s="1838"/>
      <c r="F81" s="1839"/>
      <c r="G81" s="1663"/>
      <c r="H81" s="1769"/>
      <c r="I81" s="1773"/>
      <c r="J81" s="1776"/>
      <c r="K81" s="1779"/>
      <c r="L81" s="1003"/>
      <c r="M81" s="1003">
        <v>303</v>
      </c>
      <c r="N81" s="1003"/>
      <c r="O81" s="1003"/>
      <c r="P81" s="1004">
        <v>303</v>
      </c>
      <c r="Q81" s="1005"/>
      <c r="R81" s="1005"/>
      <c r="S81" s="1005"/>
      <c r="T81" s="1005"/>
      <c r="U81" s="1006"/>
      <c r="V81" s="1006"/>
      <c r="W81" s="1006"/>
      <c r="X81" s="1005">
        <v>303</v>
      </c>
      <c r="Y81" s="1005"/>
      <c r="Z81" s="1005"/>
      <c r="AA81" s="1007"/>
      <c r="AB81" s="1008"/>
      <c r="AC81" s="1009"/>
    </row>
    <row r="82" spans="3:29" s="796" customFormat="1" ht="16.5" thickBot="1">
      <c r="C82" s="1566" t="s">
        <v>269</v>
      </c>
      <c r="D82" s="1567"/>
      <c r="E82" s="1568">
        <v>43</v>
      </c>
      <c r="F82" s="1569">
        <f>E82/$E$87</f>
        <v>0.05237515225334957</v>
      </c>
      <c r="G82" s="1570">
        <f>COUNTA(L82:AC85)-7</f>
        <v>12</v>
      </c>
      <c r="H82" s="1573">
        <f>G82/E82</f>
        <v>0.27906976744186046</v>
      </c>
      <c r="I82" s="1576">
        <f>$L$5*COUNTA(L82:L85)+$M$5*COUNTA(M82:M85)+$O$5*COUNTA(O82:O85)+$P$5*COUNTA(P82:P85)+$Q$5*COUNTA(Q82:Q85)+$R$5*COUNTA(R82:R85)+$S$5*COUNTA(S82:S85)+$T$5*COUNTA(T82:T85)+$U$5*COUNTA(U82:U85)+$X$5*COUNTA(X82:X85)+$Y$5*COUNTA(Y82:Y85)+$Z$5*COUNTA(Z82:Z85)+$AB$5*COUNTA(AB82:AB85)+$AC$5*COUNTA(AC82:AC85)+$N$5*COUNTA(N82:N85)+$V$5*COUNTA(V82:V85)</f>
        <v>3404.87</v>
      </c>
      <c r="J82" s="1554">
        <f>I82/I87</f>
        <v>0.08503883713379454</v>
      </c>
      <c r="K82" s="1556">
        <f>I82/G82</f>
        <v>283.7391666666667</v>
      </c>
      <c r="L82" s="1010">
        <v>262</v>
      </c>
      <c r="M82" s="1010"/>
      <c r="N82" s="1010">
        <v>986</v>
      </c>
      <c r="O82" s="1010"/>
      <c r="P82" s="1011">
        <v>133</v>
      </c>
      <c r="Q82" s="981"/>
      <c r="R82" s="981"/>
      <c r="S82" s="981"/>
      <c r="T82" s="981"/>
      <c r="U82" s="982"/>
      <c r="V82" s="982"/>
      <c r="W82" s="982"/>
      <c r="X82" s="981">
        <v>262</v>
      </c>
      <c r="Y82" s="981"/>
      <c r="Z82" s="981"/>
      <c r="AA82" s="983">
        <v>698</v>
      </c>
      <c r="AB82" s="984"/>
      <c r="AC82" s="985">
        <v>644</v>
      </c>
    </row>
    <row r="83" spans="3:29" s="796" customFormat="1" ht="16.5" thickBot="1">
      <c r="C83" s="1566"/>
      <c r="D83" s="1567"/>
      <c r="E83" s="1568"/>
      <c r="F83" s="1569"/>
      <c r="G83" s="1571"/>
      <c r="H83" s="1574"/>
      <c r="I83" s="1577"/>
      <c r="J83" s="1555"/>
      <c r="K83" s="1557"/>
      <c r="L83" s="1015"/>
      <c r="M83" s="1015">
        <v>94</v>
      </c>
      <c r="N83" s="1015"/>
      <c r="O83" s="1015">
        <v>94</v>
      </c>
      <c r="P83" s="1016">
        <v>986</v>
      </c>
      <c r="Q83" s="989">
        <v>63</v>
      </c>
      <c r="R83" s="989"/>
      <c r="S83" s="989"/>
      <c r="T83" s="989"/>
      <c r="U83" s="990">
        <v>200</v>
      </c>
      <c r="V83" s="990"/>
      <c r="W83" s="990"/>
      <c r="X83" s="989"/>
      <c r="Y83" s="989">
        <v>63</v>
      </c>
      <c r="Z83" s="989"/>
      <c r="AA83" s="991"/>
      <c r="AB83" s="992"/>
      <c r="AC83" s="993">
        <v>304</v>
      </c>
    </row>
    <row r="84" spans="3:29" s="796" customFormat="1" ht="16.5" thickBot="1">
      <c r="C84" s="1566"/>
      <c r="D84" s="1567"/>
      <c r="E84" s="1568"/>
      <c r="F84" s="1569"/>
      <c r="G84" s="1571"/>
      <c r="H84" s="1574"/>
      <c r="I84" s="1577"/>
      <c r="J84" s="1555"/>
      <c r="K84" s="1557"/>
      <c r="L84" s="1018"/>
      <c r="M84" s="1018">
        <v>133</v>
      </c>
      <c r="N84" s="1018">
        <v>1676</v>
      </c>
      <c r="O84" s="1018"/>
      <c r="P84" s="1019">
        <v>1676</v>
      </c>
      <c r="Q84" s="997"/>
      <c r="R84" s="997"/>
      <c r="S84" s="997"/>
      <c r="T84" s="997"/>
      <c r="U84" s="998"/>
      <c r="V84" s="998"/>
      <c r="W84" s="998"/>
      <c r="X84" s="997">
        <v>1676</v>
      </c>
      <c r="Y84" s="997"/>
      <c r="Z84" s="997"/>
      <c r="AA84" s="999"/>
      <c r="AB84" s="1000"/>
      <c r="AC84" s="1001">
        <v>655</v>
      </c>
    </row>
    <row r="85" spans="3:29" s="796" customFormat="1" ht="16.5" thickBot="1">
      <c r="C85" s="1566"/>
      <c r="D85" s="1567"/>
      <c r="E85" s="1568"/>
      <c r="F85" s="1569"/>
      <c r="G85" s="1572"/>
      <c r="H85" s="1575"/>
      <c r="I85" s="1578"/>
      <c r="J85" s="1555"/>
      <c r="K85" s="1558"/>
      <c r="L85" s="1003"/>
      <c r="M85" s="1003"/>
      <c r="N85" s="1003"/>
      <c r="O85" s="1003"/>
      <c r="P85" s="1004"/>
      <c r="Q85" s="1005"/>
      <c r="R85" s="1005"/>
      <c r="S85" s="1005"/>
      <c r="T85" s="1005"/>
      <c r="U85" s="1006"/>
      <c r="V85" s="1006"/>
      <c r="W85" s="1006"/>
      <c r="X85" s="1005"/>
      <c r="Y85" s="1005"/>
      <c r="Z85" s="1005"/>
      <c r="AA85" s="1007"/>
      <c r="AB85" s="1008"/>
      <c r="AC85" s="1009">
        <v>700</v>
      </c>
    </row>
    <row r="86" spans="3:29" ht="19.5" thickBot="1">
      <c r="C86" s="1840" t="s">
        <v>45</v>
      </c>
      <c r="D86" s="1841"/>
      <c r="E86" s="1023"/>
      <c r="F86" s="1024"/>
      <c r="G86" s="1023"/>
      <c r="H86" s="1024"/>
      <c r="I86" s="1025"/>
      <c r="J86" s="1026"/>
      <c r="K86" s="1027"/>
      <c r="L86" s="813">
        <f aca="true" t="shared" si="0" ref="L86:Z86">COUNTA(L6:L85)</f>
        <v>4</v>
      </c>
      <c r="M86" s="1038">
        <f t="shared" si="0"/>
        <v>17</v>
      </c>
      <c r="N86" s="1038">
        <f t="shared" si="0"/>
        <v>32</v>
      </c>
      <c r="O86" s="1038">
        <f t="shared" si="0"/>
        <v>13</v>
      </c>
      <c r="P86" s="813">
        <f t="shared" si="0"/>
        <v>24</v>
      </c>
      <c r="Q86" s="812">
        <f t="shared" si="0"/>
        <v>28</v>
      </c>
      <c r="R86" s="812">
        <f t="shared" si="0"/>
        <v>5</v>
      </c>
      <c r="S86" s="812">
        <f t="shared" si="0"/>
        <v>1</v>
      </c>
      <c r="T86" s="812">
        <f>COUNTA(T6:T85)</f>
        <v>23</v>
      </c>
      <c r="U86" s="815">
        <f t="shared" si="0"/>
        <v>4</v>
      </c>
      <c r="V86" s="815">
        <f t="shared" si="0"/>
        <v>0</v>
      </c>
      <c r="W86" s="815">
        <f t="shared" si="0"/>
        <v>1</v>
      </c>
      <c r="X86" s="812">
        <f>COUNTA(X6:X85)</f>
        <v>20</v>
      </c>
      <c r="Y86" s="815">
        <f>COUNTA(Y6:Y85)</f>
        <v>9</v>
      </c>
      <c r="Z86" s="1028">
        <f t="shared" si="0"/>
        <v>0</v>
      </c>
      <c r="AA86" s="1028">
        <f>COUNTA(AA6:AA85)+1</f>
        <v>3</v>
      </c>
      <c r="AB86" s="816">
        <f>COUNTA(AB6:AB85)</f>
        <v>10</v>
      </c>
      <c r="AC86" s="817">
        <f>COUNTA(AC6:AC85)</f>
        <v>29</v>
      </c>
    </row>
    <row r="87" spans="3:29" ht="17.25" thickBot="1" thickTop="1">
      <c r="C87" s="1842" t="s">
        <v>161</v>
      </c>
      <c r="D87" s="1843"/>
      <c r="E87" s="1029">
        <f>SUM(E6:E85)</f>
        <v>821</v>
      </c>
      <c r="F87" s="1030"/>
      <c r="G87" s="1029">
        <f>SUM(G6:G85)</f>
        <v>182</v>
      </c>
      <c r="H87" s="1031">
        <f>G87/E87</f>
        <v>0.22168087697929353</v>
      </c>
      <c r="I87" s="1032">
        <f>SUM(I6:I85)</f>
        <v>40039.00000000001</v>
      </c>
      <c r="J87" s="1033"/>
      <c r="K87" s="1034">
        <f>SUM(K6:K85)/22</f>
        <v>138.4694273235548</v>
      </c>
      <c r="L87" s="1034">
        <f aca="true" t="shared" si="1" ref="L87:AB87">L5*L86</f>
        <v>344</v>
      </c>
      <c r="M87" s="1034">
        <f t="shared" si="1"/>
        <v>3180.8700000000003</v>
      </c>
      <c r="N87" s="1034">
        <f t="shared" si="1"/>
        <v>5596.48</v>
      </c>
      <c r="O87" s="1034">
        <f t="shared" si="1"/>
        <v>1453.3999999999999</v>
      </c>
      <c r="P87" s="1034">
        <f t="shared" si="1"/>
        <v>2031.3600000000001</v>
      </c>
      <c r="Q87" s="1034">
        <f t="shared" si="1"/>
        <v>6728.96</v>
      </c>
      <c r="R87" s="1034">
        <f t="shared" si="1"/>
        <v>3609.5</v>
      </c>
      <c r="S87" s="1034">
        <f t="shared" si="1"/>
        <v>333.96</v>
      </c>
      <c r="T87" s="1034">
        <f t="shared" si="1"/>
        <v>3499.91</v>
      </c>
      <c r="U87" s="1032">
        <f t="shared" si="1"/>
        <v>447.2</v>
      </c>
      <c r="V87" s="1032">
        <f t="shared" si="1"/>
        <v>0</v>
      </c>
      <c r="W87" s="1032">
        <f t="shared" si="1"/>
        <v>56</v>
      </c>
      <c r="X87" s="1034">
        <f t="shared" si="1"/>
        <v>4935</v>
      </c>
      <c r="Y87" s="1034">
        <f t="shared" si="1"/>
        <v>1651.77</v>
      </c>
      <c r="Z87" s="1034">
        <f t="shared" si="1"/>
        <v>0</v>
      </c>
      <c r="AA87" s="1034">
        <f t="shared" si="1"/>
        <v>336</v>
      </c>
      <c r="AB87" s="1034">
        <f t="shared" si="1"/>
        <v>3000</v>
      </c>
      <c r="AC87" s="1034">
        <f>AC5*AC86</f>
        <v>8700</v>
      </c>
    </row>
    <row r="88" spans="3:29" ht="17.25" thickBot="1" thickTop="1">
      <c r="C88" s="1035"/>
      <c r="D88" s="1035"/>
      <c r="E88" s="1035"/>
      <c r="F88" s="1035"/>
      <c r="G88" s="1035"/>
      <c r="H88" s="1036"/>
      <c r="I88" s="1035"/>
      <c r="J88" s="1036"/>
      <c r="K88" s="1036"/>
      <c r="L88" s="1036"/>
      <c r="M88" s="1036"/>
      <c r="N88" s="1036"/>
      <c r="O88" s="1035"/>
      <c r="P88" s="1035"/>
      <c r="Q88" s="1035"/>
      <c r="R88" s="1035"/>
      <c r="S88" s="1035"/>
      <c r="T88" s="1035"/>
      <c r="U88" s="1035"/>
      <c r="V88" s="1035"/>
      <c r="W88" s="1035"/>
      <c r="X88" s="1035"/>
      <c r="Y88" s="1035"/>
      <c r="Z88" s="1035"/>
      <c r="AA88" s="1035"/>
      <c r="AB88" s="1035"/>
      <c r="AC88" s="1035"/>
    </row>
    <row r="89" spans="3:29" ht="22.5" thickBot="1" thickTop="1">
      <c r="C89" s="1844" t="s">
        <v>285</v>
      </c>
      <c r="D89" s="1845"/>
      <c r="E89" s="1845"/>
      <c r="F89" s="1845"/>
      <c r="G89" s="1845"/>
      <c r="H89" s="1845"/>
      <c r="I89" s="1845"/>
      <c r="J89" s="1845"/>
      <c r="K89" s="1845"/>
      <c r="L89" s="1845"/>
      <c r="M89" s="1845"/>
      <c r="N89" s="1845"/>
      <c r="O89" s="1845"/>
      <c r="P89" s="1037">
        <f>G87</f>
        <v>182</v>
      </c>
      <c r="Q89" s="826"/>
      <c r="R89" s="826"/>
      <c r="S89" s="826"/>
      <c r="T89" s="826"/>
      <c r="U89" s="826"/>
      <c r="V89" s="826"/>
      <c r="W89" s="826"/>
      <c r="X89" s="826"/>
      <c r="Y89" s="826"/>
      <c r="Z89" s="826"/>
      <c r="AA89" s="826"/>
      <c r="AB89" s="826"/>
      <c r="AC89" s="826"/>
    </row>
    <row r="90" ht="16.5" thickTop="1"/>
    <row r="92" ht="15.75">
      <c r="C92" s="828"/>
    </row>
    <row r="93" ht="15.75">
      <c r="C93" s="828"/>
    </row>
    <row r="94" ht="15.75">
      <c r="C94" s="828"/>
    </row>
    <row r="95" spans="1:31" s="714" customFormat="1" ht="15.75">
      <c r="A95" s="709"/>
      <c r="B95" s="709"/>
      <c r="C95" s="709"/>
      <c r="D95" s="709"/>
      <c r="E95" s="829"/>
      <c r="F95" s="829"/>
      <c r="G95" s="829"/>
      <c r="H95" s="830"/>
      <c r="I95" s="829"/>
      <c r="J95" s="830"/>
      <c r="K95" s="830"/>
      <c r="L95" s="830"/>
      <c r="M95" s="830"/>
      <c r="N95" s="830"/>
      <c r="Q95" s="715"/>
      <c r="R95" s="715"/>
      <c r="AD95" s="709"/>
      <c r="AE95" s="709"/>
    </row>
    <row r="96" spans="1:31" s="714" customFormat="1" ht="15.75">
      <c r="A96" s="709"/>
      <c r="B96" s="709"/>
      <c r="C96" s="709"/>
      <c r="D96" s="709"/>
      <c r="E96" s="829"/>
      <c r="F96" s="829"/>
      <c r="G96" s="829"/>
      <c r="H96" s="830"/>
      <c r="I96" s="829"/>
      <c r="J96" s="830"/>
      <c r="K96" s="830"/>
      <c r="L96" s="830"/>
      <c r="M96" s="830"/>
      <c r="N96" s="830"/>
      <c r="Q96" s="715"/>
      <c r="R96" s="715"/>
      <c r="AD96" s="709"/>
      <c r="AE96" s="709"/>
    </row>
  </sheetData>
  <sheetProtection/>
  <mergeCells count="125">
    <mergeCell ref="J82:J85"/>
    <mergeCell ref="K82:K85"/>
    <mergeCell ref="C86:D86"/>
    <mergeCell ref="C87:D87"/>
    <mergeCell ref="C89:O89"/>
    <mergeCell ref="C82:D85"/>
    <mergeCell ref="E82:E85"/>
    <mergeCell ref="F82:F85"/>
    <mergeCell ref="G82:G85"/>
    <mergeCell ref="H82:H85"/>
    <mergeCell ref="I82:I85"/>
    <mergeCell ref="J69:J74"/>
    <mergeCell ref="K69:K74"/>
    <mergeCell ref="C75:D81"/>
    <mergeCell ref="E75:E81"/>
    <mergeCell ref="F75:F81"/>
    <mergeCell ref="G75:G81"/>
    <mergeCell ref="H75:H81"/>
    <mergeCell ref="I75:I81"/>
    <mergeCell ref="J75:J81"/>
    <mergeCell ref="K75:K81"/>
    <mergeCell ref="C69:D74"/>
    <mergeCell ref="E69:E74"/>
    <mergeCell ref="F69:F74"/>
    <mergeCell ref="G69:G74"/>
    <mergeCell ref="H69:H74"/>
    <mergeCell ref="I69:I74"/>
    <mergeCell ref="J58:J65"/>
    <mergeCell ref="K58:K65"/>
    <mergeCell ref="C66:D68"/>
    <mergeCell ref="E66:E68"/>
    <mergeCell ref="F66:F68"/>
    <mergeCell ref="G66:G68"/>
    <mergeCell ref="H66:H68"/>
    <mergeCell ref="I66:I68"/>
    <mergeCell ref="J66:J68"/>
    <mergeCell ref="K66:K68"/>
    <mergeCell ref="C58:D65"/>
    <mergeCell ref="E58:E65"/>
    <mergeCell ref="F58:F65"/>
    <mergeCell ref="G58:G65"/>
    <mergeCell ref="H58:H65"/>
    <mergeCell ref="I58:I65"/>
    <mergeCell ref="J41:J47"/>
    <mergeCell ref="K41:K47"/>
    <mergeCell ref="C48:D57"/>
    <mergeCell ref="E48:E57"/>
    <mergeCell ref="F48:F57"/>
    <mergeCell ref="G48:G57"/>
    <mergeCell ref="H48:H57"/>
    <mergeCell ref="I48:I57"/>
    <mergeCell ref="J48:J57"/>
    <mergeCell ref="K48:K57"/>
    <mergeCell ref="C41:D47"/>
    <mergeCell ref="E41:E47"/>
    <mergeCell ref="F41:F47"/>
    <mergeCell ref="G41:G47"/>
    <mergeCell ref="H41:H47"/>
    <mergeCell ref="I41:I47"/>
    <mergeCell ref="J29:J33"/>
    <mergeCell ref="K29:K33"/>
    <mergeCell ref="C34:D40"/>
    <mergeCell ref="E34:E40"/>
    <mergeCell ref="F34:F40"/>
    <mergeCell ref="G34:G40"/>
    <mergeCell ref="H34:H40"/>
    <mergeCell ref="I34:I40"/>
    <mergeCell ref="J34:J40"/>
    <mergeCell ref="K34:K40"/>
    <mergeCell ref="C29:D33"/>
    <mergeCell ref="E29:E33"/>
    <mergeCell ref="F29:F33"/>
    <mergeCell ref="G29:G33"/>
    <mergeCell ref="H29:H33"/>
    <mergeCell ref="I29:I33"/>
    <mergeCell ref="J24:J25"/>
    <mergeCell ref="K24:K25"/>
    <mergeCell ref="C26:D28"/>
    <mergeCell ref="E26:E28"/>
    <mergeCell ref="F26:F28"/>
    <mergeCell ref="G26:G28"/>
    <mergeCell ref="H26:H28"/>
    <mergeCell ref="I26:I28"/>
    <mergeCell ref="J26:J28"/>
    <mergeCell ref="K26:K28"/>
    <mergeCell ref="C24:D25"/>
    <mergeCell ref="E24:E25"/>
    <mergeCell ref="F24:F25"/>
    <mergeCell ref="G24:G25"/>
    <mergeCell ref="H24:H25"/>
    <mergeCell ref="I24:I25"/>
    <mergeCell ref="J6:J15"/>
    <mergeCell ref="K6:K15"/>
    <mergeCell ref="C16:D23"/>
    <mergeCell ref="E16:E23"/>
    <mergeCell ref="F16:F23"/>
    <mergeCell ref="G16:G23"/>
    <mergeCell ref="H16:H23"/>
    <mergeCell ref="I16:I23"/>
    <mergeCell ref="J16:J23"/>
    <mergeCell ref="K16:K23"/>
    <mergeCell ref="C6:D15"/>
    <mergeCell ref="E6:E15"/>
    <mergeCell ref="F6:F15"/>
    <mergeCell ref="G6:G15"/>
    <mergeCell ref="H6:H15"/>
    <mergeCell ref="I6:I15"/>
    <mergeCell ref="Z2:Z3"/>
    <mergeCell ref="AA2:AA3"/>
    <mergeCell ref="AB2:AB3"/>
    <mergeCell ref="AC2:AC3"/>
    <mergeCell ref="C4:D4"/>
    <mergeCell ref="C5:D5"/>
    <mergeCell ref="J2:J3"/>
    <mergeCell ref="K2:K3"/>
    <mergeCell ref="L2:P2"/>
    <mergeCell ref="W2:W3"/>
    <mergeCell ref="X2:X3"/>
    <mergeCell ref="Y2:Y3"/>
    <mergeCell ref="C2:D3"/>
    <mergeCell ref="E2:E3"/>
    <mergeCell ref="F2:F3"/>
    <mergeCell ref="G2:G3"/>
    <mergeCell ref="H2:H3"/>
    <mergeCell ref="I2:I3"/>
  </mergeCells>
  <conditionalFormatting sqref="H6:H25 H29:H85">
    <cfRule type="cellIs" priority="1" dxfId="2" operator="greaterThan">
      <formula>"&gt;0,25"</formula>
    </cfRule>
    <cfRule type="cellIs" priority="2" dxfId="1" operator="greaterThan">
      <formula>25</formula>
    </cfRule>
    <cfRule type="cellIs" priority="3" dxfId="1" operator="greaterThan">
      <formula>25</formula>
    </cfRule>
  </conditionalFormatting>
  <conditionalFormatting sqref="K6:K85">
    <cfRule type="cellIs" priority="4" dxfId="0" operator="lessThan">
      <formula>$K$87</formula>
    </cfRule>
  </conditionalFormatting>
  <printOptions/>
  <pageMargins left="0.787401575" right="0.787401575" top="0.984251969" bottom="0.984251969" header="0.5" footer="0.5"/>
  <pageSetup fitToHeight="2" fitToWidth="1" orientation="landscape" paperSize="8" scale="62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F97"/>
  <sheetViews>
    <sheetView showGridLines="0" zoomScale="110" zoomScaleNormal="110" zoomScalePageLayoutView="0" workbookViewId="0" topLeftCell="A1">
      <selection activeCell="A67" sqref="A67:IV70"/>
    </sheetView>
  </sheetViews>
  <sheetFormatPr defaultColWidth="11.421875" defaultRowHeight="12.75"/>
  <cols>
    <col min="1" max="2" width="2.421875" style="0" customWidth="1"/>
    <col min="3" max="3" width="12.7109375" style="0" customWidth="1"/>
    <col min="4" max="4" width="10.00390625" style="0" customWidth="1"/>
    <col min="5" max="5" width="9.28125" style="188" customWidth="1"/>
    <col min="6" max="6" width="10.421875" style="188" bestFit="1" customWidth="1"/>
    <col min="7" max="7" width="7.8515625" style="188" bestFit="1" customWidth="1"/>
    <col min="8" max="8" width="11.8515625" style="418" bestFit="1" customWidth="1"/>
    <col min="9" max="9" width="11.00390625" style="188" customWidth="1"/>
    <col min="10" max="10" width="10.28125" style="418" bestFit="1" customWidth="1"/>
    <col min="11" max="11" width="10.8515625" style="418" customWidth="1"/>
    <col min="12" max="12" width="9.00390625" style="418" customWidth="1"/>
    <col min="13" max="13" width="9.28125" style="418" bestFit="1" customWidth="1"/>
    <col min="14" max="14" width="11.421875" style="418" customWidth="1"/>
    <col min="15" max="15" width="11.140625" style="10" bestFit="1" customWidth="1"/>
    <col min="16" max="16" width="11.00390625" style="10" bestFit="1" customWidth="1"/>
    <col min="17" max="18" width="11.00390625" style="10" customWidth="1"/>
    <col min="19" max="19" width="13.7109375" style="10" bestFit="1" customWidth="1"/>
    <col min="20" max="20" width="12.421875" style="10" bestFit="1" customWidth="1"/>
    <col min="21" max="21" width="12.00390625" style="10" bestFit="1" customWidth="1"/>
    <col min="22" max="24" width="11.28125" style="10" customWidth="1"/>
    <col min="25" max="25" width="11.140625" style="10" bestFit="1" customWidth="1"/>
    <col min="26" max="26" width="9.421875" style="10" bestFit="1" customWidth="1"/>
    <col min="27" max="28" width="9.421875" style="10" customWidth="1"/>
    <col min="29" max="29" width="10.28125" style="10" bestFit="1" customWidth="1"/>
    <col min="30" max="30" width="9.28125" style="10" bestFit="1" customWidth="1"/>
    <col min="31" max="31" width="27.8515625" style="0" bestFit="1" customWidth="1"/>
    <col min="32" max="32" width="13.28125" style="0" customWidth="1"/>
  </cols>
  <sheetData>
    <row r="1" spans="11:14" ht="16.5" thickBot="1">
      <c r="K1" s="419"/>
      <c r="L1" s="419"/>
      <c r="M1" s="419"/>
      <c r="N1" s="419"/>
    </row>
    <row r="2" spans="3:30" ht="30.75" thickBot="1">
      <c r="C2" s="1549" t="s">
        <v>218</v>
      </c>
      <c r="D2" s="1550"/>
      <c r="E2" s="1524" t="s">
        <v>286</v>
      </c>
      <c r="F2" s="1752" t="s">
        <v>220</v>
      </c>
      <c r="G2" s="1524" t="s">
        <v>121</v>
      </c>
      <c r="H2" s="1752" t="s">
        <v>221</v>
      </c>
      <c r="I2" s="1524" t="s">
        <v>222</v>
      </c>
      <c r="J2" s="1752" t="s">
        <v>223</v>
      </c>
      <c r="K2" s="1514" t="s">
        <v>271</v>
      </c>
      <c r="L2" s="1754" t="s">
        <v>246</v>
      </c>
      <c r="M2" s="1755"/>
      <c r="N2" s="1755"/>
      <c r="O2" s="1755"/>
      <c r="P2" s="1755"/>
      <c r="Q2" s="950"/>
      <c r="R2" s="950"/>
      <c r="S2" s="839" t="s">
        <v>247</v>
      </c>
      <c r="T2" s="840" t="s">
        <v>125</v>
      </c>
      <c r="U2" s="839" t="s">
        <v>250</v>
      </c>
      <c r="V2" s="841" t="s">
        <v>2</v>
      </c>
      <c r="W2" s="839" t="s">
        <v>272</v>
      </c>
      <c r="X2" s="1857" t="s">
        <v>283</v>
      </c>
      <c r="Y2" s="1746" t="s">
        <v>18</v>
      </c>
      <c r="Z2" s="1746" t="s">
        <v>126</v>
      </c>
      <c r="AA2" s="1746" t="s">
        <v>19</v>
      </c>
      <c r="AB2" s="1853" t="s">
        <v>284</v>
      </c>
      <c r="AC2" s="1744" t="s">
        <v>17</v>
      </c>
      <c r="AD2" s="1746" t="s">
        <v>3</v>
      </c>
    </row>
    <row r="3" spans="1:30" ht="75.75" thickBot="1">
      <c r="A3" s="10"/>
      <c r="B3" s="10"/>
      <c r="C3" s="1551"/>
      <c r="D3" s="1552"/>
      <c r="E3" s="1525"/>
      <c r="F3" s="1753"/>
      <c r="G3" s="1525"/>
      <c r="H3" s="1753"/>
      <c r="I3" s="1525"/>
      <c r="J3" s="1753"/>
      <c r="K3" s="1515"/>
      <c r="L3" s="842" t="s">
        <v>251</v>
      </c>
      <c r="M3" s="842" t="s">
        <v>273</v>
      </c>
      <c r="N3" s="842" t="s">
        <v>274</v>
      </c>
      <c r="O3" s="842" t="s">
        <v>254</v>
      </c>
      <c r="P3" s="843" t="s">
        <v>255</v>
      </c>
      <c r="Q3" s="842" t="s">
        <v>287</v>
      </c>
      <c r="R3" s="842" t="s">
        <v>288</v>
      </c>
      <c r="S3" s="844" t="s">
        <v>289</v>
      </c>
      <c r="T3" s="845" t="s">
        <v>290</v>
      </c>
      <c r="U3" s="845" t="s">
        <v>291</v>
      </c>
      <c r="V3" s="948" t="s">
        <v>262</v>
      </c>
      <c r="W3" s="948" t="s">
        <v>292</v>
      </c>
      <c r="X3" s="1858"/>
      <c r="Y3" s="1747"/>
      <c r="Z3" s="1747"/>
      <c r="AA3" s="1747"/>
      <c r="AB3" s="1854"/>
      <c r="AC3" s="1745"/>
      <c r="AD3" s="1747"/>
    </row>
    <row r="4" spans="1:30" s="472" customFormat="1" ht="16.5" thickBot="1">
      <c r="A4" s="846"/>
      <c r="B4" s="846"/>
      <c r="C4" s="1503" t="s">
        <v>129</v>
      </c>
      <c r="D4" s="1504"/>
      <c r="E4" s="949"/>
      <c r="F4" s="847"/>
      <c r="G4" s="949"/>
      <c r="H4" s="847"/>
      <c r="I4" s="949"/>
      <c r="J4" s="847"/>
      <c r="K4" s="844"/>
      <c r="L4" s="848" t="s">
        <v>293</v>
      </c>
      <c r="M4" s="471" t="s">
        <v>294</v>
      </c>
      <c r="N4" s="842" t="s">
        <v>294</v>
      </c>
      <c r="O4" s="842" t="s">
        <v>294</v>
      </c>
      <c r="P4" s="842" t="s">
        <v>294</v>
      </c>
      <c r="Q4" s="842" t="s">
        <v>278</v>
      </c>
      <c r="R4" s="842" t="s">
        <v>278</v>
      </c>
      <c r="S4" s="844" t="s">
        <v>294</v>
      </c>
      <c r="T4" s="845" t="s">
        <v>278</v>
      </c>
      <c r="U4" s="844" t="s">
        <v>279</v>
      </c>
      <c r="V4" s="949" t="s">
        <v>278</v>
      </c>
      <c r="W4" s="949" t="s">
        <v>278</v>
      </c>
      <c r="X4" s="949" t="s">
        <v>134</v>
      </c>
      <c r="Y4" s="844" t="s">
        <v>281</v>
      </c>
      <c r="Z4" s="469" t="s">
        <v>278</v>
      </c>
      <c r="AA4" s="469" t="s">
        <v>134</v>
      </c>
      <c r="AB4" s="849" t="s">
        <v>134</v>
      </c>
      <c r="AC4" s="581" t="s">
        <v>134</v>
      </c>
      <c r="AD4" s="458" t="s">
        <v>134</v>
      </c>
    </row>
    <row r="5" spans="1:30" ht="27" customHeight="1" thickBot="1">
      <c r="A5" s="10"/>
      <c r="B5" s="10"/>
      <c r="C5" s="1855" t="s">
        <v>138</v>
      </c>
      <c r="D5" s="1856"/>
      <c r="E5" s="1041"/>
      <c r="F5" s="1042"/>
      <c r="G5" s="1041"/>
      <c r="H5" s="1043"/>
      <c r="I5" s="1044"/>
      <c r="J5" s="1045"/>
      <c r="K5" s="1046"/>
      <c r="L5" s="1047">
        <v>85</v>
      </c>
      <c r="M5" s="1048">
        <v>201.9</v>
      </c>
      <c r="N5" s="1049">
        <v>184.9</v>
      </c>
      <c r="O5" s="1049">
        <v>124.9</v>
      </c>
      <c r="P5" s="1050">
        <v>93.5</v>
      </c>
      <c r="Q5" s="1050">
        <v>180</v>
      </c>
      <c r="R5" s="1049">
        <v>185</v>
      </c>
      <c r="S5" s="1051">
        <v>291.5</v>
      </c>
      <c r="T5" s="1051">
        <v>752</v>
      </c>
      <c r="U5" s="1052">
        <v>149.95</v>
      </c>
      <c r="V5" s="1053">
        <v>124.9</v>
      </c>
      <c r="W5" s="1053">
        <v>249</v>
      </c>
      <c r="X5" s="1053">
        <v>52</v>
      </c>
      <c r="Y5" s="1052">
        <v>247</v>
      </c>
      <c r="Z5" s="1054">
        <v>186.8</v>
      </c>
      <c r="AA5" s="1054">
        <v>300</v>
      </c>
      <c r="AB5" s="1055">
        <v>112</v>
      </c>
      <c r="AC5" s="1056">
        <v>300</v>
      </c>
      <c r="AD5" s="1057">
        <v>300</v>
      </c>
    </row>
    <row r="6" spans="3:30" ht="13.5">
      <c r="C6" s="1722" t="s">
        <v>229</v>
      </c>
      <c r="D6" s="1748"/>
      <c r="E6" s="1524">
        <v>102</v>
      </c>
      <c r="F6" s="1678">
        <f>E6/$E$89</f>
        <v>0.12186379928315412</v>
      </c>
      <c r="G6" s="1751">
        <f>COUNTA(L6:AD15)-8</f>
        <v>29</v>
      </c>
      <c r="H6" s="1678">
        <f>G6/E6</f>
        <v>0.28431372549019607</v>
      </c>
      <c r="I6" s="1681">
        <f>$L$5*COUNTA(L6:L15)+$M$5*COUNTA(M6:M15)+$N$5*COUNTA(N6:N15)+$O$5*COUNTA(O6:O15)+$P$5*COUNTA(P6:P15)+$S$5*COUNTA(S6:S15)+$T$5*COUNTA(T6:T15)+$U$5*COUNTA(U6:U15)+$V$5*COUNTA(V6:V15)+$W$5*COUNTA(W6:W15)+$Y$5*COUNTA(Y6:Y15)+$Z$5*COUNTA(Z6:Z15)+$AA$5*COUNTA(AA6:AA15)+$AC$5*COUNTA(AC6:AC15)+$AD$5*COUNTA(AD6:AD15)+$X$5*COUNTA(X6:X15)+$AB$5*COUNTA(AB6:AB15)+$R$5*COUNTA(R6:R15)+$Q$5*COUNTA(Q6:Q15)</f>
        <v>9687.349999999999</v>
      </c>
      <c r="J6" s="1664">
        <f>I6/I89</f>
        <v>0.20785739956979557</v>
      </c>
      <c r="K6" s="1666">
        <f>I6/G6</f>
        <v>334.0465517241379</v>
      </c>
      <c r="L6" s="864"/>
      <c r="M6" s="864">
        <v>499</v>
      </c>
      <c r="N6" s="864"/>
      <c r="O6" s="864">
        <v>499</v>
      </c>
      <c r="P6" s="865"/>
      <c r="Q6" s="865"/>
      <c r="R6" s="864"/>
      <c r="S6" s="866"/>
      <c r="T6" s="867"/>
      <c r="U6" s="866"/>
      <c r="V6" s="868"/>
      <c r="W6" s="868"/>
      <c r="X6" s="868"/>
      <c r="Y6" s="867"/>
      <c r="Z6" s="867"/>
      <c r="AA6" s="867"/>
      <c r="AB6" s="869"/>
      <c r="AC6" s="870"/>
      <c r="AD6" s="871"/>
    </row>
    <row r="7" spans="3:32" ht="15.75">
      <c r="C7" s="1724"/>
      <c r="D7" s="1749"/>
      <c r="E7" s="1677"/>
      <c r="F7" s="1679"/>
      <c r="G7" s="1677"/>
      <c r="H7" s="1679"/>
      <c r="I7" s="1682"/>
      <c r="J7" s="1665"/>
      <c r="K7" s="1667"/>
      <c r="L7" s="872"/>
      <c r="M7" s="872"/>
      <c r="N7" s="872"/>
      <c r="O7" s="872"/>
      <c r="P7" s="873"/>
      <c r="Q7" s="873"/>
      <c r="R7" s="872">
        <v>1547</v>
      </c>
      <c r="S7" s="874"/>
      <c r="T7" s="875"/>
      <c r="U7" s="874"/>
      <c r="V7" s="876"/>
      <c r="W7" s="876"/>
      <c r="X7" s="876"/>
      <c r="Y7" s="875"/>
      <c r="Z7" s="875"/>
      <c r="AA7" s="875"/>
      <c r="AB7" s="877"/>
      <c r="AC7" s="878"/>
      <c r="AD7" s="887">
        <v>52</v>
      </c>
      <c r="AF7" s="1058"/>
    </row>
    <row r="8" spans="3:32" ht="13.5">
      <c r="C8" s="1724"/>
      <c r="D8" s="1749"/>
      <c r="E8" s="1677"/>
      <c r="F8" s="1679"/>
      <c r="G8" s="1677"/>
      <c r="H8" s="1679"/>
      <c r="I8" s="1682"/>
      <c r="J8" s="1665"/>
      <c r="K8" s="1667"/>
      <c r="L8" s="880"/>
      <c r="M8" s="880"/>
      <c r="N8" s="880">
        <v>981</v>
      </c>
      <c r="O8" s="880"/>
      <c r="P8" s="881">
        <v>981</v>
      </c>
      <c r="Q8" s="881"/>
      <c r="R8" s="880"/>
      <c r="S8" s="882">
        <v>514</v>
      </c>
      <c r="T8" s="883"/>
      <c r="U8" s="882"/>
      <c r="V8" s="884"/>
      <c r="W8" s="884"/>
      <c r="X8" s="884"/>
      <c r="Y8" s="883"/>
      <c r="Z8" s="883"/>
      <c r="AA8" s="883"/>
      <c r="AB8" s="885"/>
      <c r="AC8" s="886"/>
      <c r="AD8" s="887"/>
      <c r="AF8" s="1059"/>
    </row>
    <row r="9" spans="3:30" ht="13.5">
      <c r="C9" s="1724"/>
      <c r="D9" s="1749"/>
      <c r="E9" s="1677"/>
      <c r="F9" s="1679"/>
      <c r="G9" s="1677"/>
      <c r="H9" s="1679"/>
      <c r="I9" s="1682"/>
      <c r="J9" s="1665"/>
      <c r="K9" s="1667"/>
      <c r="L9" s="880"/>
      <c r="M9" s="880"/>
      <c r="N9" s="880">
        <v>544</v>
      </c>
      <c r="O9" s="880">
        <v>544</v>
      </c>
      <c r="P9" s="881"/>
      <c r="Q9" s="881"/>
      <c r="R9" s="880"/>
      <c r="S9" s="882">
        <v>161</v>
      </c>
      <c r="T9" s="883"/>
      <c r="U9" s="882"/>
      <c r="V9" s="884"/>
      <c r="W9" s="884"/>
      <c r="X9" s="884"/>
      <c r="Y9" s="883"/>
      <c r="Z9" s="883"/>
      <c r="AA9" s="883"/>
      <c r="AB9" s="885"/>
      <c r="AC9" s="886"/>
      <c r="AD9" s="887">
        <v>1667</v>
      </c>
    </row>
    <row r="10" spans="3:30" ht="13.5">
      <c r="C10" s="1724"/>
      <c r="D10" s="1749"/>
      <c r="E10" s="1677"/>
      <c r="F10" s="1679"/>
      <c r="G10" s="1677"/>
      <c r="H10" s="1679"/>
      <c r="I10" s="1682"/>
      <c r="J10" s="1665"/>
      <c r="K10" s="1667"/>
      <c r="L10" s="880">
        <v>43</v>
      </c>
      <c r="M10" s="880"/>
      <c r="N10" s="880"/>
      <c r="O10" s="880"/>
      <c r="P10" s="881"/>
      <c r="Q10" s="881"/>
      <c r="R10" s="880"/>
      <c r="S10" s="882">
        <v>69</v>
      </c>
      <c r="T10" s="883">
        <v>1633</v>
      </c>
      <c r="U10" s="882"/>
      <c r="V10" s="884"/>
      <c r="W10" s="884"/>
      <c r="X10" s="884"/>
      <c r="Y10" s="883"/>
      <c r="Z10" s="883"/>
      <c r="AA10" s="883"/>
      <c r="AB10" s="885"/>
      <c r="AC10" s="886"/>
      <c r="AD10" s="887"/>
    </row>
    <row r="11" spans="3:30" ht="13.5">
      <c r="C11" s="1724"/>
      <c r="D11" s="1749"/>
      <c r="E11" s="1677"/>
      <c r="F11" s="1679"/>
      <c r="G11" s="1677"/>
      <c r="H11" s="1679"/>
      <c r="I11" s="1682"/>
      <c r="J11" s="1665"/>
      <c r="K11" s="1667"/>
      <c r="L11" s="880"/>
      <c r="M11" s="880">
        <v>212</v>
      </c>
      <c r="N11" s="880"/>
      <c r="O11" s="880">
        <v>212</v>
      </c>
      <c r="P11" s="881"/>
      <c r="Q11" s="881"/>
      <c r="R11" s="880"/>
      <c r="S11" s="882">
        <v>180</v>
      </c>
      <c r="T11" s="883"/>
      <c r="U11" s="882"/>
      <c r="V11" s="884"/>
      <c r="W11" s="884"/>
      <c r="X11" s="884"/>
      <c r="Y11" s="883"/>
      <c r="Z11" s="883"/>
      <c r="AA11" s="883"/>
      <c r="AB11" s="883">
        <v>35</v>
      </c>
      <c r="AC11" s="886"/>
      <c r="AD11" s="887">
        <v>475</v>
      </c>
    </row>
    <row r="12" spans="3:30" ht="13.5">
      <c r="C12" s="1724"/>
      <c r="D12" s="1749"/>
      <c r="E12" s="1677"/>
      <c r="F12" s="1679"/>
      <c r="G12" s="1677"/>
      <c r="H12" s="1679"/>
      <c r="I12" s="1682"/>
      <c r="J12" s="1665"/>
      <c r="K12" s="1667"/>
      <c r="L12" s="880"/>
      <c r="M12" s="880"/>
      <c r="N12" s="880">
        <v>684</v>
      </c>
      <c r="O12" s="880">
        <v>684</v>
      </c>
      <c r="P12" s="881"/>
      <c r="Q12" s="881"/>
      <c r="R12" s="880"/>
      <c r="S12" s="1060">
        <v>252</v>
      </c>
      <c r="T12" s="883"/>
      <c r="U12" s="882"/>
      <c r="V12" s="884"/>
      <c r="W12" s="884"/>
      <c r="X12" s="884"/>
      <c r="Y12" s="883">
        <v>176</v>
      </c>
      <c r="Z12" s="883"/>
      <c r="AA12" s="883"/>
      <c r="AB12" s="885"/>
      <c r="AC12" s="886"/>
      <c r="AD12" s="887">
        <v>46</v>
      </c>
    </row>
    <row r="13" spans="3:30" ht="13.5">
      <c r="C13" s="1724"/>
      <c r="D13" s="1749"/>
      <c r="E13" s="1677"/>
      <c r="F13" s="1679"/>
      <c r="G13" s="1677"/>
      <c r="H13" s="1679"/>
      <c r="I13" s="1682"/>
      <c r="J13" s="1665"/>
      <c r="K13" s="1667"/>
      <c r="L13" s="880"/>
      <c r="M13" s="880"/>
      <c r="N13" s="880">
        <v>132</v>
      </c>
      <c r="O13" s="880">
        <v>132</v>
      </c>
      <c r="P13" s="881"/>
      <c r="Q13" s="881"/>
      <c r="R13" s="880"/>
      <c r="S13" s="1061">
        <v>92</v>
      </c>
      <c r="T13" s="883">
        <v>315</v>
      </c>
      <c r="U13" s="882"/>
      <c r="V13" s="884"/>
      <c r="W13" s="884"/>
      <c r="X13" s="884"/>
      <c r="Y13" s="883">
        <v>307</v>
      </c>
      <c r="Z13" s="883"/>
      <c r="AA13" s="883"/>
      <c r="AB13" s="885">
        <v>547</v>
      </c>
      <c r="AC13" s="886">
        <v>859</v>
      </c>
      <c r="AD13" s="1062">
        <v>884</v>
      </c>
    </row>
    <row r="14" spans="3:32" ht="13.5">
      <c r="C14" s="1724"/>
      <c r="D14" s="1749"/>
      <c r="E14" s="1677"/>
      <c r="F14" s="1679"/>
      <c r="G14" s="1677"/>
      <c r="H14" s="1679"/>
      <c r="I14" s="1682"/>
      <c r="J14" s="1665"/>
      <c r="K14" s="1667"/>
      <c r="L14" s="1063"/>
      <c r="M14" s="1064"/>
      <c r="N14" s="1064"/>
      <c r="O14" s="1064"/>
      <c r="P14" s="1065"/>
      <c r="Q14" s="1065"/>
      <c r="R14" s="1062"/>
      <c r="S14" s="882">
        <v>139</v>
      </c>
      <c r="T14" s="883">
        <v>1558</v>
      </c>
      <c r="U14" s="882">
        <v>466</v>
      </c>
      <c r="V14" s="884"/>
      <c r="W14" s="884"/>
      <c r="X14" s="884"/>
      <c r="Y14" s="883"/>
      <c r="Z14" s="883"/>
      <c r="AA14" s="883"/>
      <c r="AB14" s="885"/>
      <c r="AC14" s="884"/>
      <c r="AD14" s="1066">
        <v>199</v>
      </c>
      <c r="AF14" s="1059"/>
    </row>
    <row r="15" spans="3:30" ht="15" thickBot="1">
      <c r="C15" s="1726"/>
      <c r="D15" s="1750"/>
      <c r="E15" s="1525"/>
      <c r="F15" s="1680"/>
      <c r="G15" s="1525"/>
      <c r="H15" s="1680"/>
      <c r="I15" s="1683"/>
      <c r="J15" s="1695"/>
      <c r="K15" s="1668"/>
      <c r="L15" s="1067"/>
      <c r="M15" s="1067"/>
      <c r="N15" s="1067"/>
      <c r="O15" s="1067"/>
      <c r="P15" s="1068"/>
      <c r="Q15" s="1068"/>
      <c r="R15" s="1067"/>
      <c r="S15" s="890">
        <v>334</v>
      </c>
      <c r="T15" s="890"/>
      <c r="U15" s="890"/>
      <c r="V15" s="891"/>
      <c r="W15" s="891"/>
      <c r="X15" s="891"/>
      <c r="Y15" s="890"/>
      <c r="Z15" s="890"/>
      <c r="AA15" s="890"/>
      <c r="AB15" s="892"/>
      <c r="AC15" s="891"/>
      <c r="AD15" s="894"/>
    </row>
    <row r="16" spans="3:30" ht="13.5">
      <c r="C16" s="1724" t="s">
        <v>230</v>
      </c>
      <c r="D16" s="1725"/>
      <c r="E16" s="1677">
        <v>50</v>
      </c>
      <c r="F16" s="1679">
        <f>E16/$E$89</f>
        <v>0.05973715651135006</v>
      </c>
      <c r="G16" s="1524">
        <f>COUNTA(L16:AD23)</f>
        <v>12</v>
      </c>
      <c r="H16" s="1678">
        <f>G16/E16</f>
        <v>0.24</v>
      </c>
      <c r="I16" s="1681">
        <f>$L$5*COUNTA(L16:L23)+$M$5*COUNTA(M16:M23)+$O$5*COUNTA(O16:O23)+$P$5*COUNTA(P16:P23)+$S$5*COUNTA(S16:S23)+$T$5*COUNTA(T16:T23)+$U$5*COUNTA(U16:U23)+$V$5*COUNTA(V16:V23)+$Y$5*COUNTA(Y16:Y23)+$Z$5*COUNTA(Z16:Z23)+$AA$5*COUNTA(AA16:AA23)+$AC$5*COUNTA(AC16:AC23)+$AD$5*COUNTA(AD16:AD23)+$N$5*COUNTA(N16:N23)+$W$5*COUNTA(W16:W23)+$X$5*COUNTA(X6:X15)+$R$5*COUNTA(R16:R23)+$Q$5*COUNTA(Q16:Q23)+$X$5*COUNTA(X16:X23)+$AB$5*COUNTA(AB16:AB23)</f>
        <v>3099</v>
      </c>
      <c r="J16" s="1664">
        <f>I16/I89</f>
        <v>0.06649394119824271</v>
      </c>
      <c r="K16" s="1666">
        <f>I16/G16</f>
        <v>258.25</v>
      </c>
      <c r="L16" s="895"/>
      <c r="M16" s="895"/>
      <c r="N16" s="895">
        <v>539</v>
      </c>
      <c r="O16" s="895"/>
      <c r="P16" s="896"/>
      <c r="Q16" s="896"/>
      <c r="R16" s="895"/>
      <c r="S16" s="867"/>
      <c r="T16" s="867"/>
      <c r="U16" s="867"/>
      <c r="V16" s="868">
        <v>493</v>
      </c>
      <c r="W16" s="868"/>
      <c r="X16" s="868"/>
      <c r="Y16" s="867"/>
      <c r="Z16" s="867"/>
      <c r="AA16" s="867"/>
      <c r="AB16" s="869"/>
      <c r="AC16" s="870"/>
      <c r="AD16" s="871"/>
    </row>
    <row r="17" spans="3:30" ht="13.5">
      <c r="C17" s="1724"/>
      <c r="D17" s="1725"/>
      <c r="E17" s="1677"/>
      <c r="F17" s="1679"/>
      <c r="G17" s="1677"/>
      <c r="H17" s="1679"/>
      <c r="I17" s="1682"/>
      <c r="J17" s="1665"/>
      <c r="K17" s="1667"/>
      <c r="L17" s="897"/>
      <c r="M17" s="897">
        <v>542</v>
      </c>
      <c r="N17" s="897"/>
      <c r="O17" s="897"/>
      <c r="P17" s="873"/>
      <c r="Q17" s="873"/>
      <c r="R17" s="897"/>
      <c r="S17" s="874"/>
      <c r="T17" s="875"/>
      <c r="U17" s="874"/>
      <c r="V17" s="898"/>
      <c r="W17" s="898"/>
      <c r="X17" s="898"/>
      <c r="Y17" s="874"/>
      <c r="Z17" s="875"/>
      <c r="AA17" s="875"/>
      <c r="AB17" s="877"/>
      <c r="AC17" s="878"/>
      <c r="AD17" s="899"/>
    </row>
    <row r="18" spans="3:30" ht="13.5">
      <c r="C18" s="1724"/>
      <c r="D18" s="1725"/>
      <c r="E18" s="1677"/>
      <c r="F18" s="1679"/>
      <c r="G18" s="1677"/>
      <c r="H18" s="1679"/>
      <c r="I18" s="1682"/>
      <c r="J18" s="1665"/>
      <c r="K18" s="1667"/>
      <c r="L18" s="897"/>
      <c r="M18" s="897"/>
      <c r="N18" s="897">
        <v>1700</v>
      </c>
      <c r="O18" s="897"/>
      <c r="P18" s="873"/>
      <c r="Q18" s="873"/>
      <c r="R18" s="897"/>
      <c r="S18" s="874">
        <v>757</v>
      </c>
      <c r="T18" s="875">
        <v>388</v>
      </c>
      <c r="U18" s="874"/>
      <c r="V18" s="898"/>
      <c r="W18" s="898"/>
      <c r="X18" s="898"/>
      <c r="Y18" s="874"/>
      <c r="Z18" s="875"/>
      <c r="AA18" s="875"/>
      <c r="AB18" s="877"/>
      <c r="AC18" s="878"/>
      <c r="AD18" s="899">
        <v>409</v>
      </c>
    </row>
    <row r="19" spans="3:30" ht="13.5">
      <c r="C19" s="1724"/>
      <c r="D19" s="1725"/>
      <c r="E19" s="1677"/>
      <c r="F19" s="1679"/>
      <c r="G19" s="1677"/>
      <c r="H19" s="1679"/>
      <c r="I19" s="1682"/>
      <c r="J19" s="1665"/>
      <c r="K19" s="1667"/>
      <c r="L19" s="897"/>
      <c r="M19" s="897"/>
      <c r="N19" s="897"/>
      <c r="O19" s="897"/>
      <c r="P19" s="873"/>
      <c r="Q19" s="873"/>
      <c r="R19" s="897"/>
      <c r="S19" s="874"/>
      <c r="T19" s="875"/>
      <c r="U19" s="874"/>
      <c r="W19" s="898"/>
      <c r="X19" s="898"/>
      <c r="Y19" s="874"/>
      <c r="Z19" s="875"/>
      <c r="AA19" s="875"/>
      <c r="AB19" s="877"/>
      <c r="AC19" s="878"/>
      <c r="AD19" s="899">
        <v>416</v>
      </c>
    </row>
    <row r="20" spans="3:30" ht="13.5">
      <c r="C20" s="1724"/>
      <c r="D20" s="1725"/>
      <c r="E20" s="1677"/>
      <c r="F20" s="1679"/>
      <c r="G20" s="1677"/>
      <c r="H20" s="1679"/>
      <c r="I20" s="1682"/>
      <c r="J20" s="1665"/>
      <c r="K20" s="1667"/>
      <c r="L20" s="897"/>
      <c r="M20" s="897"/>
      <c r="N20" s="897"/>
      <c r="O20" s="897"/>
      <c r="P20" s="873"/>
      <c r="Q20" s="873"/>
      <c r="R20" s="897"/>
      <c r="S20" s="874"/>
      <c r="T20" s="875"/>
      <c r="U20" s="874"/>
      <c r="V20" s="898">
        <v>677</v>
      </c>
      <c r="W20" s="898"/>
      <c r="X20" s="898"/>
      <c r="Y20" s="874"/>
      <c r="Z20" s="875"/>
      <c r="AA20" s="875"/>
      <c r="AB20" s="877"/>
      <c r="AC20" s="878"/>
      <c r="AD20" s="899"/>
    </row>
    <row r="21" spans="3:30" ht="13.5">
      <c r="C21" s="1724"/>
      <c r="D21" s="1725"/>
      <c r="E21" s="1677"/>
      <c r="F21" s="1679"/>
      <c r="G21" s="1677"/>
      <c r="H21" s="1679"/>
      <c r="I21" s="1682"/>
      <c r="J21" s="1665"/>
      <c r="K21" s="1667"/>
      <c r="L21" s="897"/>
      <c r="M21" s="897"/>
      <c r="N21" s="897"/>
      <c r="O21" s="897"/>
      <c r="P21" s="873">
        <v>237</v>
      </c>
      <c r="Q21" s="873"/>
      <c r="R21" s="897"/>
      <c r="S21" s="874">
        <v>1700</v>
      </c>
      <c r="T21" s="875"/>
      <c r="U21" s="874"/>
      <c r="V21" s="898"/>
      <c r="W21" s="898"/>
      <c r="X21" s="898"/>
      <c r="Y21" s="874"/>
      <c r="Z21" s="875"/>
      <c r="AA21" s="875"/>
      <c r="AB21" s="877"/>
      <c r="AC21" s="878"/>
      <c r="AD21" s="899"/>
    </row>
    <row r="22" spans="3:30" ht="13.5">
      <c r="C22" s="1724"/>
      <c r="D22" s="1725"/>
      <c r="E22" s="1677"/>
      <c r="F22" s="1679"/>
      <c r="G22" s="1677"/>
      <c r="H22" s="1679"/>
      <c r="I22" s="1682"/>
      <c r="J22" s="1665"/>
      <c r="K22" s="1667"/>
      <c r="L22" s="897"/>
      <c r="M22" s="897"/>
      <c r="N22" s="897"/>
      <c r="O22" s="897"/>
      <c r="P22" s="873"/>
      <c r="Q22" s="873"/>
      <c r="R22" s="897"/>
      <c r="S22" s="874"/>
      <c r="T22" s="875"/>
      <c r="U22" s="874"/>
      <c r="V22" s="898"/>
      <c r="W22" s="898">
        <v>410</v>
      </c>
      <c r="X22" s="898"/>
      <c r="Y22" s="874"/>
      <c r="Z22" s="875"/>
      <c r="AA22" s="875"/>
      <c r="AB22" s="877"/>
      <c r="AC22" s="878"/>
      <c r="AD22" s="899"/>
    </row>
    <row r="23" spans="3:30" ht="15" thickBot="1">
      <c r="C23" s="1724"/>
      <c r="D23" s="1725"/>
      <c r="E23" s="1677"/>
      <c r="F23" s="1679"/>
      <c r="G23" s="1677"/>
      <c r="H23" s="1679"/>
      <c r="I23" s="1682"/>
      <c r="J23" s="1665"/>
      <c r="K23" s="1667"/>
      <c r="L23" s="897"/>
      <c r="M23" s="897"/>
      <c r="N23" s="897"/>
      <c r="O23" s="897"/>
      <c r="P23" s="873"/>
      <c r="Q23" s="873"/>
      <c r="R23" s="897"/>
      <c r="S23" s="874"/>
      <c r="T23" s="875"/>
      <c r="U23" s="874"/>
      <c r="V23" s="898"/>
      <c r="W23" s="898"/>
      <c r="X23" s="898"/>
      <c r="Y23" s="874"/>
      <c r="Z23" s="875"/>
      <c r="AA23" s="875"/>
      <c r="AB23" s="877"/>
      <c r="AC23" s="878"/>
      <c r="AD23" s="899"/>
    </row>
    <row r="24" spans="3:30" ht="13.5">
      <c r="C24" s="1722" t="s">
        <v>231</v>
      </c>
      <c r="D24" s="1723"/>
      <c r="E24" s="1524">
        <v>41</v>
      </c>
      <c r="F24" s="1678">
        <f>E24/$E$89</f>
        <v>0.04898446833930705</v>
      </c>
      <c r="G24" s="1524">
        <f>COUNTA(L24:AD25)</f>
        <v>4</v>
      </c>
      <c r="H24" s="1678">
        <f>G24/E24</f>
        <v>0.0975609756097561</v>
      </c>
      <c r="I24" s="1681">
        <f>$L$5*COUNTA(L24:L25)+$M$5*COUNTA(M24:M25)+$O$5*COUNTA(O24:O25)+$P$5*COUNTA(P24:P25)+$S$5*COUNTA(S24:S25)+$T$5*COUNTA(T24:T25)+$U$5*COUNTA(U24:U25)+$V$5*COUNTA(V24:V25)+$Y$5*COUNTA(Y24:Y25)+$Z$5*COUNTA(Z24:Z25)++$AA$5*COUNTA(AA24:AA25)+$AC$5*COUNTA(AC24:AC25)+$AD$5*COUNTA(AD24:AD25)+$N$5*COUNTA(N24:N25)+$W$5*COUNTA(W24:W25)+$AC$5*COUNTA(AB24:AB25)+$R$5*COUNTA(R24:R25)+$Q$5*COUNTA(Q24:Q25)+$X$5*COUNTA(X24:X25)</f>
        <v>1428.5</v>
      </c>
      <c r="J24" s="1664">
        <f>I24/I89</f>
        <v>0.03065072442777984</v>
      </c>
      <c r="K24" s="1666">
        <f>I24/G24</f>
        <v>357.125</v>
      </c>
      <c r="L24" s="895"/>
      <c r="M24" s="895"/>
      <c r="N24" s="895"/>
      <c r="O24" s="895"/>
      <c r="P24" s="896">
        <v>944</v>
      </c>
      <c r="Q24" s="896"/>
      <c r="R24" s="895"/>
      <c r="S24" s="867">
        <v>815</v>
      </c>
      <c r="T24" s="867"/>
      <c r="U24" s="867"/>
      <c r="V24" s="868"/>
      <c r="W24" s="868"/>
      <c r="X24" s="868"/>
      <c r="Y24" s="867"/>
      <c r="Z24" s="867"/>
      <c r="AA24" s="867"/>
      <c r="AB24" s="869"/>
      <c r="AC24" s="868"/>
      <c r="AD24" s="871"/>
    </row>
    <row r="25" spans="3:30" ht="15" thickBot="1">
      <c r="C25" s="1726"/>
      <c r="D25" s="1727"/>
      <c r="E25" s="1525"/>
      <c r="F25" s="1680"/>
      <c r="G25" s="1525"/>
      <c r="H25" s="1680"/>
      <c r="I25" s="1683"/>
      <c r="J25" s="1695"/>
      <c r="K25" s="1667"/>
      <c r="L25" s="900"/>
      <c r="M25" s="900"/>
      <c r="N25" s="900"/>
      <c r="O25" s="900"/>
      <c r="P25" s="901"/>
      <c r="Q25" s="901"/>
      <c r="R25" s="900"/>
      <c r="S25" s="875">
        <v>423</v>
      </c>
      <c r="T25" s="875">
        <v>272</v>
      </c>
      <c r="U25" s="875"/>
      <c r="V25" s="876"/>
      <c r="W25" s="876"/>
      <c r="X25" s="876"/>
      <c r="Y25" s="875"/>
      <c r="Z25" s="875"/>
      <c r="AA25" s="875"/>
      <c r="AB25" s="877"/>
      <c r="AC25" s="876"/>
      <c r="AD25" s="879"/>
    </row>
    <row r="26" spans="3:30" ht="13.5">
      <c r="C26" s="1724" t="s">
        <v>232</v>
      </c>
      <c r="D26" s="1725"/>
      <c r="E26" s="1677">
        <v>5</v>
      </c>
      <c r="F26" s="1679">
        <f>E26/$E$89</f>
        <v>0.005973715651135006</v>
      </c>
      <c r="G26" s="1677">
        <f>COUNTA(L26:AD28)</f>
        <v>2</v>
      </c>
      <c r="H26" s="1679">
        <f>G26/E26</f>
        <v>0.4</v>
      </c>
      <c r="I26" s="1682">
        <f>$L$5*COUNTA(L26:L28)+$M$5*COUNTA(M26:M28)+$O$5*COUNTA(O26:O28)+$P$5*COUNTA(P26:P28)+$S$5*COUNTA(S26:S28)+$T$5*COUNTA(T26:T28)+$U$5*COUNTA(U26:U28)+$V$5*COUNTA(V26:V28)+$Y$5*COUNTA(Y26:Y28)+$Z$5*COUNTA(Z26:Z28)+$AA$5*COUNTA(AA26:AA28)+$AC$5*COUNTA(AC26:AC28)+$AD$5*COUNTA(AD26:AD28)+$N$5*COUNTA(N26:N28)+$W$5*COUNTA(W26:W28)+$R$5*COUNTA(R26:R28)+$Q$5*COUNTA(Q26:Q28)+$X$5*COUNTA(X26:X28)+$AB$5*COUNTA(AB26:AB28)</f>
        <v>476.4</v>
      </c>
      <c r="J26" s="1665">
        <f>I26/I89</f>
        <v>0.010221914677909916</v>
      </c>
      <c r="K26" s="1514">
        <f>I26/G26</f>
        <v>238.2</v>
      </c>
      <c r="L26" s="895"/>
      <c r="M26" s="895"/>
      <c r="N26" s="895"/>
      <c r="O26" s="895"/>
      <c r="P26" s="896"/>
      <c r="Q26" s="896"/>
      <c r="R26" s="895"/>
      <c r="S26" s="867">
        <v>830</v>
      </c>
      <c r="T26" s="867"/>
      <c r="U26" s="867"/>
      <c r="V26" s="868"/>
      <c r="W26" s="868"/>
      <c r="X26" s="868"/>
      <c r="Y26" s="867"/>
      <c r="Z26" s="867"/>
      <c r="AA26" s="867"/>
      <c r="AB26" s="869"/>
      <c r="AC26" s="870"/>
      <c r="AD26" s="871"/>
    </row>
    <row r="27" spans="3:30" ht="13.5">
      <c r="C27" s="1724"/>
      <c r="D27" s="1725"/>
      <c r="E27" s="1677"/>
      <c r="F27" s="1679"/>
      <c r="G27" s="1677"/>
      <c r="H27" s="1679"/>
      <c r="I27" s="1682"/>
      <c r="J27" s="1665"/>
      <c r="K27" s="1667"/>
      <c r="L27" s="900"/>
      <c r="M27" s="900"/>
      <c r="N27" s="900">
        <v>717</v>
      </c>
      <c r="O27" s="900"/>
      <c r="P27" s="901"/>
      <c r="Q27" s="901"/>
      <c r="R27" s="900"/>
      <c r="S27" s="875"/>
      <c r="T27" s="875"/>
      <c r="U27" s="875"/>
      <c r="V27" s="876"/>
      <c r="W27" s="876"/>
      <c r="X27" s="876"/>
      <c r="Y27" s="875"/>
      <c r="Z27" s="875"/>
      <c r="AA27" s="875"/>
      <c r="AB27" s="877"/>
      <c r="AC27" s="878"/>
      <c r="AD27" s="879"/>
    </row>
    <row r="28" spans="3:30" ht="15" thickBot="1">
      <c r="C28" s="1724"/>
      <c r="D28" s="1725"/>
      <c r="E28" s="1677"/>
      <c r="F28" s="1679"/>
      <c r="G28" s="1677"/>
      <c r="H28" s="1679"/>
      <c r="I28" s="1683"/>
      <c r="J28" s="1665"/>
      <c r="K28" s="1668"/>
      <c r="L28" s="927"/>
      <c r="M28" s="927"/>
      <c r="N28" s="927"/>
      <c r="O28" s="927"/>
      <c r="P28" s="889"/>
      <c r="Q28" s="889"/>
      <c r="R28" s="927"/>
      <c r="S28" s="890"/>
      <c r="T28" s="890"/>
      <c r="U28" s="890"/>
      <c r="V28" s="891"/>
      <c r="W28" s="891"/>
      <c r="X28" s="891"/>
      <c r="Y28" s="890"/>
      <c r="Z28" s="890"/>
      <c r="AA28" s="890"/>
      <c r="AB28" s="892"/>
      <c r="AC28" s="893"/>
      <c r="AD28" s="894"/>
    </row>
    <row r="29" spans="3:30" ht="13.5">
      <c r="C29" s="1722" t="s">
        <v>233</v>
      </c>
      <c r="D29" s="1723"/>
      <c r="E29" s="1524">
        <v>47</v>
      </c>
      <c r="F29" s="1678">
        <f>E29/$E$89</f>
        <v>0.056152927120669056</v>
      </c>
      <c r="G29" s="1716">
        <f>COUNTA(L29:AD33)-3</f>
        <v>11</v>
      </c>
      <c r="H29" s="1678">
        <f>G29/E29</f>
        <v>0.23404255319148937</v>
      </c>
      <c r="I29" s="1681">
        <f>$L$5*COUNTA(L29:L33)+$M$5*COUNTA(M29:M33)+$O$5*COUNTA(O29:O33)+$P$5*COUNTA(P29:P33)+$S$5*COUNTA(S29:S33)+$T$5*COUNTA(T29:T33)+$U$5*COUNTA(U29:U33)+$V$5*COUNTA(V29:V33)+$Y$5*COUNTA(Y29:Y33)+$Z$5*COUNTA(Z29:Z33)+$AA$5*COUNTA(AA29:AA33)+$AC$5*COUNTA(AC29:AC33)+$AD$5*COUNTA(AD29:AD33)+$N$5*COUNTA(N29:N33)+$W$5*COUNTA(W29:W33)+$R$5*COUNTA(R29:R33)+$Q$5*COUNTA(Q29:Q33)+$X$5*COUNTA(X29:X33)+$AB$5*COUNTA(AB29:AB33)</f>
        <v>3656.5</v>
      </c>
      <c r="J29" s="1664">
        <f>I29/I89</f>
        <v>0.0784559845083493</v>
      </c>
      <c r="K29" s="1666">
        <f>I29/G29</f>
        <v>332.40909090909093</v>
      </c>
      <c r="L29" s="895"/>
      <c r="M29" s="895"/>
      <c r="N29" s="895"/>
      <c r="O29" s="895"/>
      <c r="P29" s="896"/>
      <c r="Q29" s="896">
        <v>650</v>
      </c>
      <c r="R29" s="895"/>
      <c r="S29" s="867">
        <v>921</v>
      </c>
      <c r="T29" s="867"/>
      <c r="U29" s="867"/>
      <c r="V29" s="868"/>
      <c r="W29" s="868"/>
      <c r="X29" s="868"/>
      <c r="Y29" s="867"/>
      <c r="Z29" s="867"/>
      <c r="AA29" s="867"/>
      <c r="AB29" s="869"/>
      <c r="AC29" s="870"/>
      <c r="AD29" s="871"/>
    </row>
    <row r="30" spans="3:30" ht="13.5">
      <c r="C30" s="1724"/>
      <c r="D30" s="1725"/>
      <c r="E30" s="1677"/>
      <c r="F30" s="1679"/>
      <c r="G30" s="1717"/>
      <c r="H30" s="1679"/>
      <c r="I30" s="1682"/>
      <c r="J30" s="1665"/>
      <c r="K30" s="1667"/>
      <c r="L30" s="900"/>
      <c r="M30" s="900">
        <v>14</v>
      </c>
      <c r="N30" s="900"/>
      <c r="O30" s="900"/>
      <c r="P30" s="901">
        <v>14</v>
      </c>
      <c r="Q30" s="901"/>
      <c r="R30" s="900"/>
      <c r="S30" s="875"/>
      <c r="T30" s="875"/>
      <c r="U30" s="875"/>
      <c r="V30" s="876"/>
      <c r="W30" s="876"/>
      <c r="X30" s="876"/>
      <c r="Y30" s="875">
        <v>14</v>
      </c>
      <c r="Z30" s="875"/>
      <c r="AA30" s="875"/>
      <c r="AB30" s="877"/>
      <c r="AC30" s="878"/>
      <c r="AD30" s="879"/>
    </row>
    <row r="31" spans="3:30" ht="13.5">
      <c r="C31" s="1724"/>
      <c r="D31" s="1725"/>
      <c r="E31" s="1677"/>
      <c r="F31" s="1679"/>
      <c r="G31" s="1717"/>
      <c r="H31" s="1679"/>
      <c r="I31" s="1682"/>
      <c r="J31" s="1665"/>
      <c r="K31" s="1667"/>
      <c r="L31" s="900"/>
      <c r="M31" s="900">
        <v>75</v>
      </c>
      <c r="N31" s="900"/>
      <c r="O31" s="900">
        <v>75</v>
      </c>
      <c r="P31" s="901"/>
      <c r="Q31" s="901"/>
      <c r="R31" s="900"/>
      <c r="S31" s="875">
        <v>551</v>
      </c>
      <c r="T31" s="875"/>
      <c r="U31" s="875"/>
      <c r="V31" s="876"/>
      <c r="W31" s="876"/>
      <c r="X31" s="876"/>
      <c r="Y31" s="875">
        <v>162</v>
      </c>
      <c r="Z31" s="875">
        <v>34</v>
      </c>
      <c r="AA31" s="875"/>
      <c r="AB31" s="877"/>
      <c r="AC31" s="878"/>
      <c r="AD31" s="879"/>
    </row>
    <row r="32" spans="3:30" ht="13.5">
      <c r="C32" s="1724"/>
      <c r="D32" s="1725"/>
      <c r="E32" s="1677"/>
      <c r="F32" s="1679"/>
      <c r="G32" s="1717"/>
      <c r="H32" s="1679"/>
      <c r="I32" s="1682"/>
      <c r="J32" s="1665"/>
      <c r="K32" s="1667"/>
      <c r="L32" s="902"/>
      <c r="M32" s="902"/>
      <c r="N32" s="902"/>
      <c r="O32" s="902"/>
      <c r="P32" s="903"/>
      <c r="Q32" s="903"/>
      <c r="R32" s="902"/>
      <c r="S32" s="883">
        <v>882</v>
      </c>
      <c r="T32" s="883"/>
      <c r="U32" s="883"/>
      <c r="V32" s="884"/>
      <c r="W32" s="884"/>
      <c r="X32" s="884"/>
      <c r="Y32" s="883">
        <v>107</v>
      </c>
      <c r="Z32" s="883"/>
      <c r="AA32" s="883"/>
      <c r="AB32" s="885"/>
      <c r="AC32" s="886">
        <v>194</v>
      </c>
      <c r="AD32" s="887"/>
    </row>
    <row r="33" spans="3:30" ht="15" thickBot="1">
      <c r="C33" s="1724"/>
      <c r="D33" s="1725"/>
      <c r="E33" s="1677"/>
      <c r="F33" s="1679"/>
      <c r="G33" s="1718"/>
      <c r="H33" s="1679"/>
      <c r="I33" s="1683"/>
      <c r="J33" s="1665"/>
      <c r="K33" s="1668"/>
      <c r="L33" s="888"/>
      <c r="M33" s="888"/>
      <c r="N33" s="888"/>
      <c r="O33" s="888"/>
      <c r="P33" s="889"/>
      <c r="Q33" s="889"/>
      <c r="R33" s="888"/>
      <c r="S33" s="890"/>
      <c r="T33" s="890">
        <v>1671</v>
      </c>
      <c r="U33" s="890"/>
      <c r="V33" s="891"/>
      <c r="W33" s="891"/>
      <c r="X33" s="891"/>
      <c r="Y33" s="890"/>
      <c r="Z33" s="890"/>
      <c r="AA33" s="890"/>
      <c r="AB33" s="892"/>
      <c r="AC33" s="893"/>
      <c r="AD33" s="894"/>
    </row>
    <row r="34" spans="3:30" ht="13.5">
      <c r="C34" s="1741" t="s">
        <v>234</v>
      </c>
      <c r="D34" s="1722"/>
      <c r="E34" s="1524">
        <v>101</v>
      </c>
      <c r="F34" s="1678">
        <f>E34/$E$89</f>
        <v>0.12066905615292713</v>
      </c>
      <c r="G34" s="1524">
        <f>COUNTA(L34:AD41)-8</f>
        <v>15</v>
      </c>
      <c r="H34" s="1678">
        <f>G34/E34</f>
        <v>0.1485148514851485</v>
      </c>
      <c r="I34" s="1681">
        <f>$L$5*COUNTA(L34:L41)+$M$5*COUNTA(M34:M41)+$N$5*COUNTA(N34:N41)+$O$5*COUNTA(O34:O41)+$P$5*COUNTA(P34:P41)+$S$5*COUNTA(S34:S41)+$T$5*COUNTA(T34:T41)+$U$5*COUNTA(U34:U41)+$V$5*COUNTA(V34:V41)+$W$5*COUNTA(W34:W41)+$Y$5*COUNTA(Y34:Y41)+$Z$5*COUNTA(Z34:Z41)+$AA$5*COUNTA(AA34:AA41)+$AC$5*COUNTA(AC34:AC41)+$AD$5*COUNTA(AD34:AD41)+$R$5*COUNTA(R34:R41)+$Q$5*COUNTA(Q34:Q41)+$X$5*COUNTA(X34:X41)+$AB$5*COUNTA(AB34:AB41)</f>
        <v>4409.6</v>
      </c>
      <c r="J34" s="1664">
        <f>I34/I89</f>
        <v>0.09461493485245921</v>
      </c>
      <c r="K34" s="1666">
        <f>I34/G34</f>
        <v>293.97333333333336</v>
      </c>
      <c r="L34" s="895"/>
      <c r="M34" s="895"/>
      <c r="N34" s="895">
        <v>667</v>
      </c>
      <c r="O34" s="895">
        <v>667</v>
      </c>
      <c r="P34" s="925"/>
      <c r="Q34" s="925"/>
      <c r="R34" s="895"/>
      <c r="S34" s="867"/>
      <c r="T34" s="867"/>
      <c r="U34" s="867"/>
      <c r="V34" s="868"/>
      <c r="W34" s="868"/>
      <c r="X34" s="868"/>
      <c r="Y34" s="867">
        <v>586</v>
      </c>
      <c r="Z34" s="867"/>
      <c r="AA34" s="867"/>
      <c r="AB34" s="869"/>
      <c r="AC34" s="870"/>
      <c r="AD34" s="871"/>
    </row>
    <row r="35" spans="3:30" ht="13.5">
      <c r="C35" s="1742"/>
      <c r="D35" s="1724"/>
      <c r="E35" s="1677"/>
      <c r="F35" s="1679"/>
      <c r="G35" s="1677"/>
      <c r="H35" s="1679"/>
      <c r="I35" s="1682"/>
      <c r="J35" s="1665"/>
      <c r="K35" s="1667"/>
      <c r="L35" s="900"/>
      <c r="M35" s="900">
        <v>641</v>
      </c>
      <c r="N35" s="900"/>
      <c r="O35" s="900">
        <v>641</v>
      </c>
      <c r="P35" s="901"/>
      <c r="Q35" s="901"/>
      <c r="R35" s="900"/>
      <c r="S35" s="875"/>
      <c r="T35" s="875"/>
      <c r="U35" s="875"/>
      <c r="V35" s="876"/>
      <c r="W35" s="876"/>
      <c r="X35" s="876"/>
      <c r="Y35" s="875"/>
      <c r="Z35" s="875"/>
      <c r="AA35" s="875"/>
      <c r="AB35" s="877"/>
      <c r="AC35" s="878"/>
      <c r="AD35" s="879"/>
    </row>
    <row r="36" spans="3:30" ht="13.5">
      <c r="C36" s="1742"/>
      <c r="D36" s="1724"/>
      <c r="E36" s="1677"/>
      <c r="F36" s="1679"/>
      <c r="G36" s="1677"/>
      <c r="H36" s="1679"/>
      <c r="I36" s="1682"/>
      <c r="J36" s="1665"/>
      <c r="K36" s="1667"/>
      <c r="L36" s="902"/>
      <c r="M36" s="902"/>
      <c r="N36" s="902">
        <v>474</v>
      </c>
      <c r="O36" s="902"/>
      <c r="P36" s="903">
        <v>474</v>
      </c>
      <c r="Q36" s="903"/>
      <c r="R36" s="902"/>
      <c r="S36" s="883">
        <v>526</v>
      </c>
      <c r="T36" s="883"/>
      <c r="U36" s="883"/>
      <c r="V36" s="884"/>
      <c r="W36" s="884"/>
      <c r="X36" s="884"/>
      <c r="Y36" s="883"/>
      <c r="Z36" s="883"/>
      <c r="AA36" s="883"/>
      <c r="AB36" s="885"/>
      <c r="AC36" s="886"/>
      <c r="AD36" s="887"/>
    </row>
    <row r="37" spans="3:30" ht="13.5">
      <c r="C37" s="1742"/>
      <c r="D37" s="1724"/>
      <c r="E37" s="1677"/>
      <c r="F37" s="1679"/>
      <c r="G37" s="1677"/>
      <c r="H37" s="1679"/>
      <c r="I37" s="1682"/>
      <c r="J37" s="1665"/>
      <c r="K37" s="1667"/>
      <c r="L37" s="902"/>
      <c r="M37" s="902">
        <v>1691</v>
      </c>
      <c r="N37" s="902"/>
      <c r="O37" s="902"/>
      <c r="P37" s="903">
        <v>1691</v>
      </c>
      <c r="Q37" s="903"/>
      <c r="R37" s="902"/>
      <c r="S37" s="883">
        <v>802</v>
      </c>
      <c r="T37" s="883"/>
      <c r="U37" s="883"/>
      <c r="V37" s="884"/>
      <c r="W37" s="884"/>
      <c r="X37" s="884"/>
      <c r="Y37" s="883"/>
      <c r="Z37" s="883"/>
      <c r="AA37" s="883"/>
      <c r="AB37" s="885"/>
      <c r="AC37" s="886"/>
      <c r="AD37" s="887">
        <v>335</v>
      </c>
    </row>
    <row r="38" spans="3:30" ht="13.5">
      <c r="C38" s="1742"/>
      <c r="D38" s="1724"/>
      <c r="E38" s="1677"/>
      <c r="F38" s="1679"/>
      <c r="G38" s="1677"/>
      <c r="H38" s="1679"/>
      <c r="I38" s="1682"/>
      <c r="J38" s="1665"/>
      <c r="K38" s="1667"/>
      <c r="L38" s="902"/>
      <c r="M38" s="902"/>
      <c r="N38" s="902">
        <v>728</v>
      </c>
      <c r="O38" s="902">
        <v>728</v>
      </c>
      <c r="P38" s="903"/>
      <c r="Q38" s="903"/>
      <c r="R38" s="902"/>
      <c r="S38" s="883">
        <v>1617</v>
      </c>
      <c r="T38" s="883"/>
      <c r="U38" s="883"/>
      <c r="V38" s="884"/>
      <c r="W38" s="884"/>
      <c r="X38" s="884"/>
      <c r="Y38" s="883"/>
      <c r="Z38" s="883"/>
      <c r="AA38" s="883"/>
      <c r="AB38" s="885"/>
      <c r="AC38" s="886"/>
      <c r="AD38" s="887"/>
    </row>
    <row r="39" spans="3:30" ht="13.5">
      <c r="C39" s="1742"/>
      <c r="D39" s="1724"/>
      <c r="E39" s="1677"/>
      <c r="F39" s="1679"/>
      <c r="G39" s="1677"/>
      <c r="H39" s="1679"/>
      <c r="I39" s="1682"/>
      <c r="J39" s="1665"/>
      <c r="K39" s="1667"/>
      <c r="L39" s="902"/>
      <c r="M39" s="902"/>
      <c r="N39" s="902">
        <v>741</v>
      </c>
      <c r="O39" s="902">
        <v>741</v>
      </c>
      <c r="P39" s="903"/>
      <c r="Q39" s="903"/>
      <c r="R39" s="902"/>
      <c r="S39" s="883"/>
      <c r="T39" s="883"/>
      <c r="U39" s="883"/>
      <c r="V39" s="884"/>
      <c r="W39" s="884"/>
      <c r="X39" s="884"/>
      <c r="Y39" s="883"/>
      <c r="Z39" s="883"/>
      <c r="AA39" s="883"/>
      <c r="AB39" s="885"/>
      <c r="AC39" s="886"/>
      <c r="AD39" s="887"/>
    </row>
    <row r="40" spans="3:30" ht="13.5">
      <c r="C40" s="1742"/>
      <c r="D40" s="1724"/>
      <c r="E40" s="1677"/>
      <c r="F40" s="1679"/>
      <c r="G40" s="1677"/>
      <c r="H40" s="1679"/>
      <c r="I40" s="1682"/>
      <c r="J40" s="1665"/>
      <c r="K40" s="1667"/>
      <c r="L40" s="902"/>
      <c r="M40" s="902"/>
      <c r="N40" s="902">
        <v>627</v>
      </c>
      <c r="O40" s="902">
        <v>627</v>
      </c>
      <c r="P40" s="903"/>
      <c r="Q40" s="903"/>
      <c r="R40" s="902"/>
      <c r="S40" s="883">
        <v>510</v>
      </c>
      <c r="T40" s="883"/>
      <c r="U40" s="883"/>
      <c r="V40" s="884"/>
      <c r="W40" s="884"/>
      <c r="X40" s="884"/>
      <c r="Y40" s="883">
        <v>853</v>
      </c>
      <c r="Z40" s="883"/>
      <c r="AA40" s="883"/>
      <c r="AB40" s="885"/>
      <c r="AC40" s="886"/>
      <c r="AD40" s="887"/>
    </row>
    <row r="41" spans="3:30" ht="15" thickBot="1">
      <c r="C41" s="1742"/>
      <c r="D41" s="1724"/>
      <c r="E41" s="1677"/>
      <c r="F41" s="1679"/>
      <c r="G41" s="1677"/>
      <c r="H41" s="1679"/>
      <c r="I41" s="1683"/>
      <c r="J41" s="1665"/>
      <c r="K41" s="1668"/>
      <c r="L41" s="888"/>
      <c r="M41" s="888"/>
      <c r="N41" s="888">
        <v>236</v>
      </c>
      <c r="O41" s="888">
        <v>236</v>
      </c>
      <c r="P41" s="889"/>
      <c r="Q41" s="889"/>
      <c r="R41" s="888"/>
      <c r="S41" s="890"/>
      <c r="T41" s="890"/>
      <c r="U41" s="890"/>
      <c r="V41" s="891"/>
      <c r="W41" s="891"/>
      <c r="X41" s="891"/>
      <c r="Y41" s="890"/>
      <c r="Z41" s="890"/>
      <c r="AA41" s="890"/>
      <c r="AB41" s="892"/>
      <c r="AC41" s="893"/>
      <c r="AD41" s="894"/>
    </row>
    <row r="42" spans="3:31" s="6" customFormat="1" ht="13.5">
      <c r="C42" s="1477" t="s">
        <v>237</v>
      </c>
      <c r="D42" s="1478"/>
      <c r="E42" s="1438">
        <v>71</v>
      </c>
      <c r="F42" s="1851">
        <f>E42/$E$89</f>
        <v>0.08482676224611709</v>
      </c>
      <c r="G42" s="1438">
        <f>COUNTA(L42:AD48)-2</f>
        <v>11</v>
      </c>
      <c r="H42" s="1851">
        <f>G42/E42</f>
        <v>0.15492957746478872</v>
      </c>
      <c r="I42" s="1467">
        <f>$L$5*COUNTA(L42:L48)+$M$5*COUNTA(M42:M48)+$N$5*COUNTA(N42:N48)+$O$5*COUNTA(O42:O48)+$P$5*COUNTA(P42:P48)+$S$5*COUNTA(S42:S48)+$T$5*COUNTA(T42:T48)+$U$5*COUNTA(U42:U48)+$V$5*COUNTA(V42:V48)+$W$5*COUNTA(W42:W48)+$Y$5*COUNTA(Y42:Y48)+$Z$5*COUNTA(Z42:Z48)+$AA$5*COUNTA(AA42:AA48)+$AC$5*COUNTA(AC42:AC48)+$AD$5*COUNTA(AD42:AD48)+$R$5*COUNTA(R42:R48)+$Q$5*COUNTA(Q42:Q48)+$X$5*COUNTA(X42:X48)+$AB$5*COUNTA(AB42:AB48)</f>
        <v>2719.6</v>
      </c>
      <c r="J42" s="1849">
        <f>I42/I89</f>
        <v>0.0583533147733917</v>
      </c>
      <c r="K42" s="1390">
        <f>I42/G42</f>
        <v>247.23636363636362</v>
      </c>
      <c r="L42" s="1082"/>
      <c r="M42" s="1082"/>
      <c r="N42" s="1082"/>
      <c r="O42" s="1082"/>
      <c r="P42" s="1083"/>
      <c r="Q42" s="1083"/>
      <c r="R42" s="1082"/>
      <c r="S42" s="1084"/>
      <c r="T42" s="1084"/>
      <c r="U42" s="1084"/>
      <c r="V42" s="1085"/>
      <c r="W42" s="1085"/>
      <c r="X42" s="1085"/>
      <c r="Y42" s="1084"/>
      <c r="Z42" s="1084"/>
      <c r="AA42" s="1084"/>
      <c r="AB42" s="1086">
        <v>344</v>
      </c>
      <c r="AC42" s="1087"/>
      <c r="AD42" s="1088">
        <v>1629</v>
      </c>
      <c r="AE42" s="1089"/>
    </row>
    <row r="43" spans="3:30" s="6" customFormat="1" ht="13.5">
      <c r="C43" s="1507"/>
      <c r="D43" s="1508"/>
      <c r="E43" s="1434"/>
      <c r="F43" s="1852"/>
      <c r="G43" s="1434"/>
      <c r="H43" s="1852"/>
      <c r="I43" s="1468"/>
      <c r="J43" s="1850"/>
      <c r="K43" s="1391"/>
      <c r="L43" s="1090"/>
      <c r="M43" s="1090"/>
      <c r="N43" s="1091"/>
      <c r="O43" s="1090"/>
      <c r="P43" s="1092"/>
      <c r="Q43" s="1092"/>
      <c r="R43" s="1090"/>
      <c r="S43" s="1093"/>
      <c r="T43" s="1093"/>
      <c r="U43" s="1093"/>
      <c r="V43" s="1094">
        <v>490</v>
      </c>
      <c r="W43" s="1094"/>
      <c r="X43" s="1094"/>
      <c r="Y43" s="1093"/>
      <c r="Z43" s="1093"/>
      <c r="AA43" s="1093"/>
      <c r="AB43" s="1095"/>
      <c r="AC43" s="1096">
        <v>1557</v>
      </c>
      <c r="AD43" s="1097"/>
    </row>
    <row r="44" spans="3:30" s="6" customFormat="1" ht="13.5">
      <c r="C44" s="1507"/>
      <c r="D44" s="1508"/>
      <c r="E44" s="1434"/>
      <c r="F44" s="1852"/>
      <c r="G44" s="1434"/>
      <c r="H44" s="1852"/>
      <c r="I44" s="1468"/>
      <c r="J44" s="1850"/>
      <c r="K44" s="1391"/>
      <c r="L44" s="1091"/>
      <c r="M44" s="1091"/>
      <c r="N44" s="1091"/>
      <c r="O44" s="1091"/>
      <c r="P44" s="1092"/>
      <c r="Q44" s="1092"/>
      <c r="R44" s="1091"/>
      <c r="S44" s="1098">
        <v>744</v>
      </c>
      <c r="T44" s="1098"/>
      <c r="U44" s="1098"/>
      <c r="V44" s="1099"/>
      <c r="W44" s="1099"/>
      <c r="X44" s="1099"/>
      <c r="Y44" s="1098"/>
      <c r="Z44" s="1098"/>
      <c r="AA44" s="1098">
        <v>744</v>
      </c>
      <c r="AB44" s="1100"/>
      <c r="AC44" s="1101"/>
      <c r="AD44" s="1102"/>
    </row>
    <row r="45" spans="3:30" s="6" customFormat="1" ht="13.5">
      <c r="C45" s="1507"/>
      <c r="D45" s="1508"/>
      <c r="E45" s="1434"/>
      <c r="F45" s="1852"/>
      <c r="G45" s="1434"/>
      <c r="H45" s="1852"/>
      <c r="I45" s="1468"/>
      <c r="J45" s="1850"/>
      <c r="K45" s="1391"/>
      <c r="L45" s="1091"/>
      <c r="M45" s="1091"/>
      <c r="N45" s="1091"/>
      <c r="O45" s="1091"/>
      <c r="P45" s="1092"/>
      <c r="Q45" s="1092"/>
      <c r="R45" s="1091"/>
      <c r="S45" s="1098"/>
      <c r="T45" s="1098"/>
      <c r="U45" s="1098"/>
      <c r="V45" s="1099"/>
      <c r="W45" s="1099"/>
      <c r="X45" s="1099"/>
      <c r="Y45" s="1098">
        <v>41</v>
      </c>
      <c r="Z45" s="1098"/>
      <c r="AA45" s="1098"/>
      <c r="AB45" s="1100"/>
      <c r="AC45" s="1101"/>
      <c r="AD45" s="1102"/>
    </row>
    <row r="46" spans="3:30" s="6" customFormat="1" ht="13.5">
      <c r="C46" s="1507"/>
      <c r="D46" s="1508"/>
      <c r="E46" s="1434"/>
      <c r="F46" s="1852"/>
      <c r="G46" s="1434"/>
      <c r="H46" s="1852"/>
      <c r="I46" s="1468"/>
      <c r="J46" s="1850"/>
      <c r="K46" s="1391"/>
      <c r="L46" s="1091"/>
      <c r="M46" s="1091"/>
      <c r="N46" s="1091"/>
      <c r="O46" s="1091"/>
      <c r="P46" s="1092"/>
      <c r="Q46" s="1092"/>
      <c r="R46" s="1091"/>
      <c r="S46" s="1098"/>
      <c r="T46" s="1098"/>
      <c r="U46" s="1098"/>
      <c r="V46" s="1099"/>
      <c r="W46" s="1099"/>
      <c r="X46" s="1099"/>
      <c r="Y46" s="1098">
        <v>936</v>
      </c>
      <c r="Z46" s="1098">
        <v>30</v>
      </c>
      <c r="AA46" s="1098"/>
      <c r="AB46" s="1100"/>
      <c r="AC46" s="1101"/>
      <c r="AD46" s="1102"/>
    </row>
    <row r="47" spans="3:30" s="6" customFormat="1" ht="13.5">
      <c r="C47" s="1507"/>
      <c r="D47" s="1508"/>
      <c r="E47" s="1434"/>
      <c r="F47" s="1852"/>
      <c r="G47" s="1434"/>
      <c r="H47" s="1852"/>
      <c r="I47" s="1468"/>
      <c r="J47" s="1850"/>
      <c r="K47" s="1391"/>
      <c r="L47" s="1091">
        <v>358</v>
      </c>
      <c r="M47" s="1091"/>
      <c r="N47" s="1091"/>
      <c r="O47" s="1091"/>
      <c r="P47" s="1092"/>
      <c r="Q47" s="1092"/>
      <c r="R47" s="1091"/>
      <c r="S47" s="1098"/>
      <c r="T47" s="1098"/>
      <c r="U47" s="1098"/>
      <c r="V47" s="1099"/>
      <c r="W47" s="1099"/>
      <c r="X47" s="1099"/>
      <c r="Y47" s="1098">
        <v>157</v>
      </c>
      <c r="Z47" s="1098"/>
      <c r="AA47" s="1098"/>
      <c r="AB47" s="1100"/>
      <c r="AC47" s="1101"/>
      <c r="AD47" s="1102"/>
    </row>
    <row r="48" spans="3:30" s="6" customFormat="1" ht="15" thickBot="1">
      <c r="C48" s="1507"/>
      <c r="D48" s="1508"/>
      <c r="E48" s="1434"/>
      <c r="F48" s="1852"/>
      <c r="G48" s="1434"/>
      <c r="H48" s="1852"/>
      <c r="I48" s="1468"/>
      <c r="J48" s="1850"/>
      <c r="K48" s="1391"/>
      <c r="L48" s="1091"/>
      <c r="M48" s="1091"/>
      <c r="N48" s="1091">
        <v>1551</v>
      </c>
      <c r="O48" s="1091"/>
      <c r="P48" s="1092">
        <v>1551</v>
      </c>
      <c r="Q48" s="1092"/>
      <c r="R48" s="1091"/>
      <c r="S48" s="1098"/>
      <c r="T48" s="1098"/>
      <c r="U48" s="1098"/>
      <c r="V48" s="1099"/>
      <c r="W48" s="1099"/>
      <c r="X48" s="1099"/>
      <c r="Y48" s="1098"/>
      <c r="Z48" s="1098"/>
      <c r="AA48" s="1098"/>
      <c r="AB48" s="1100"/>
      <c r="AC48" s="1101"/>
      <c r="AD48" s="1102"/>
    </row>
    <row r="49" spans="3:30" ht="13.5">
      <c r="C49" s="1722" t="s">
        <v>238</v>
      </c>
      <c r="D49" s="1723"/>
      <c r="E49" s="1524">
        <v>80</v>
      </c>
      <c r="F49" s="1678">
        <f>E49/$E$89</f>
        <v>0.0955794504181601</v>
      </c>
      <c r="G49" s="1524">
        <f>COUNTA(L49:AD58)-1</f>
        <v>21</v>
      </c>
      <c r="H49" s="1678">
        <f>G49/E49</f>
        <v>0.2625</v>
      </c>
      <c r="I49" s="1681">
        <f>$L$5*COUNTA(L49:L58)+$M$5*COUNTA(M49:M58)+$O$5*COUNTA(O49:O58)+$P$5*COUNTA(P49:P58)+$S$5*COUNTA(S49:S58)+$T$5*COUNTA(T49:T58)+$U$5*COUNTA(U49:U58)+$V$5*COUNTA(V49:V58)+$Y$5*COUNTA(Y49:Y58)+$Z$5*COUNTA(Z49:Z58)+$AA$5*COUNTA(AA49:AA58)+$AC$5*COUNTA(AC49:AC58)+$AD$5*COUNTA(AD49:AD58)+$N$5*COUNTA(N49:N58)+$W$5*COUNTA(W49:W58)+$R$5*COUNTA(R49:R58)+$Q$5*COUNTA(Q49:Q58)+$X$5*COUNTA(X49:X58)+$AB$5*COUNTA(AB49:AB58)</f>
        <v>4933</v>
      </c>
      <c r="J49" s="1664">
        <f>I49/I89</f>
        <v>0.10584530878700592</v>
      </c>
      <c r="K49" s="1666">
        <f>I49/G49</f>
        <v>234.9047619047619</v>
      </c>
      <c r="L49" s="895"/>
      <c r="M49" s="895"/>
      <c r="N49" s="895"/>
      <c r="O49" s="895"/>
      <c r="P49" s="896"/>
      <c r="Q49" s="896"/>
      <c r="R49" s="895"/>
      <c r="S49" s="867"/>
      <c r="T49" s="867"/>
      <c r="U49" s="867"/>
      <c r="V49" s="868"/>
      <c r="W49" s="868"/>
      <c r="X49" s="868"/>
      <c r="Y49" s="867">
        <v>780</v>
      </c>
      <c r="Z49" s="867"/>
      <c r="AA49" s="867"/>
      <c r="AB49" s="869"/>
      <c r="AC49" s="870"/>
      <c r="AD49" s="871">
        <v>1527</v>
      </c>
    </row>
    <row r="50" spans="3:30" ht="13.5">
      <c r="C50" s="1724"/>
      <c r="D50" s="1725"/>
      <c r="E50" s="1677"/>
      <c r="F50" s="1679"/>
      <c r="G50" s="1677"/>
      <c r="H50" s="1679"/>
      <c r="I50" s="1682"/>
      <c r="J50" s="1665"/>
      <c r="K50" s="1667"/>
      <c r="L50" s="900"/>
      <c r="M50" s="900"/>
      <c r="N50" s="900"/>
      <c r="O50" s="900"/>
      <c r="P50" s="901"/>
      <c r="Q50" s="901"/>
      <c r="R50" s="900"/>
      <c r="S50" s="875"/>
      <c r="T50" s="875"/>
      <c r="U50" s="875">
        <v>756</v>
      </c>
      <c r="V50" s="876"/>
      <c r="W50" s="876"/>
      <c r="X50" s="876"/>
      <c r="Y50" s="875"/>
      <c r="Z50" s="875"/>
      <c r="AA50" s="875"/>
      <c r="AB50" s="877"/>
      <c r="AC50" s="878"/>
      <c r="AD50" s="879"/>
    </row>
    <row r="51" spans="3:30" ht="13.5">
      <c r="C51" s="1724"/>
      <c r="D51" s="1725"/>
      <c r="E51" s="1677"/>
      <c r="F51" s="1679"/>
      <c r="G51" s="1677"/>
      <c r="H51" s="1679"/>
      <c r="I51" s="1682"/>
      <c r="J51" s="1665"/>
      <c r="K51" s="1667"/>
      <c r="L51" s="902"/>
      <c r="M51" s="902"/>
      <c r="N51" s="902"/>
      <c r="O51" s="902"/>
      <c r="P51" s="903"/>
      <c r="Q51" s="903"/>
      <c r="R51" s="902"/>
      <c r="S51" s="883">
        <v>840</v>
      </c>
      <c r="T51" s="883"/>
      <c r="U51" s="883"/>
      <c r="V51" s="884"/>
      <c r="W51" s="884"/>
      <c r="X51" s="884"/>
      <c r="Y51" s="883"/>
      <c r="Z51" s="883"/>
      <c r="AA51" s="883"/>
      <c r="AB51" s="885"/>
      <c r="AC51" s="886"/>
      <c r="AD51" s="887">
        <v>748</v>
      </c>
    </row>
    <row r="52" spans="3:30" ht="13.5">
      <c r="C52" s="1724"/>
      <c r="D52" s="1725"/>
      <c r="E52" s="1677"/>
      <c r="F52" s="1679"/>
      <c r="G52" s="1677"/>
      <c r="H52" s="1679"/>
      <c r="I52" s="1682"/>
      <c r="J52" s="1665"/>
      <c r="K52" s="1667"/>
      <c r="L52" s="902"/>
      <c r="M52" s="902"/>
      <c r="N52" s="902"/>
      <c r="O52" s="902"/>
      <c r="P52" s="903"/>
      <c r="Q52" s="903"/>
      <c r="R52" s="902"/>
      <c r="S52" s="883"/>
      <c r="T52" s="883"/>
      <c r="U52" s="883">
        <v>32</v>
      </c>
      <c r="V52" s="884"/>
      <c r="W52" s="884"/>
      <c r="X52" s="884"/>
      <c r="Y52" s="883">
        <v>355</v>
      </c>
      <c r="Z52" s="883"/>
      <c r="AA52" s="883"/>
      <c r="AB52" s="885"/>
      <c r="AC52" s="886"/>
      <c r="AD52" s="887"/>
    </row>
    <row r="53" spans="3:30" ht="13.5">
      <c r="C53" s="1724"/>
      <c r="D53" s="1725"/>
      <c r="E53" s="1677"/>
      <c r="F53" s="1679"/>
      <c r="G53" s="1677"/>
      <c r="H53" s="1679"/>
      <c r="I53" s="1682"/>
      <c r="J53" s="1665"/>
      <c r="K53" s="1667"/>
      <c r="L53" s="902"/>
      <c r="M53" s="902"/>
      <c r="N53" s="902"/>
      <c r="O53" s="902"/>
      <c r="P53" s="903"/>
      <c r="Q53" s="903"/>
      <c r="R53" s="902"/>
      <c r="S53" s="883"/>
      <c r="T53" s="883">
        <v>822</v>
      </c>
      <c r="U53" s="883"/>
      <c r="V53" s="884"/>
      <c r="W53" s="884"/>
      <c r="X53" s="884"/>
      <c r="Y53" s="883"/>
      <c r="Z53" s="883">
        <v>226</v>
      </c>
      <c r="AA53" s="883"/>
      <c r="AB53" s="885"/>
      <c r="AC53" s="886"/>
      <c r="AD53" s="887"/>
    </row>
    <row r="54" spans="3:30" ht="13.5">
      <c r="C54" s="1724"/>
      <c r="D54" s="1725"/>
      <c r="E54" s="1677"/>
      <c r="F54" s="1679"/>
      <c r="G54" s="1677"/>
      <c r="H54" s="1679"/>
      <c r="I54" s="1682"/>
      <c r="J54" s="1665"/>
      <c r="K54" s="1667"/>
      <c r="L54" s="902"/>
      <c r="M54" s="902"/>
      <c r="N54" s="902">
        <v>630</v>
      </c>
      <c r="O54" s="902"/>
      <c r="P54" s="903"/>
      <c r="Q54" s="903"/>
      <c r="R54" s="902"/>
      <c r="S54" s="883"/>
      <c r="T54" s="883"/>
      <c r="U54" s="883"/>
      <c r="V54" s="884"/>
      <c r="W54" s="884"/>
      <c r="X54" s="884"/>
      <c r="Y54" s="883"/>
      <c r="Z54" s="883"/>
      <c r="AA54" s="883"/>
      <c r="AB54" s="885"/>
      <c r="AC54" s="886"/>
      <c r="AD54" s="887"/>
    </row>
    <row r="55" spans="3:30" ht="13.5">
      <c r="C55" s="1724"/>
      <c r="D55" s="1725"/>
      <c r="E55" s="1677"/>
      <c r="F55" s="1679"/>
      <c r="G55" s="1677"/>
      <c r="H55" s="1679"/>
      <c r="I55" s="1682"/>
      <c r="J55" s="1665"/>
      <c r="K55" s="1667"/>
      <c r="L55" s="902"/>
      <c r="M55" s="902"/>
      <c r="N55" s="902">
        <v>372</v>
      </c>
      <c r="O55" s="902"/>
      <c r="P55" s="903"/>
      <c r="Q55" s="1069"/>
      <c r="R55" s="1069">
        <v>414</v>
      </c>
      <c r="S55" s="883"/>
      <c r="T55" s="883"/>
      <c r="U55" s="883"/>
      <c r="V55" s="884"/>
      <c r="W55" s="884"/>
      <c r="X55" s="884"/>
      <c r="Y55" s="883"/>
      <c r="Z55" s="883"/>
      <c r="AA55" s="883"/>
      <c r="AB55" s="885">
        <v>319</v>
      </c>
      <c r="AC55" s="886"/>
      <c r="AD55" s="887">
        <v>812</v>
      </c>
    </row>
    <row r="56" spans="3:30" ht="13.5">
      <c r="C56" s="1724"/>
      <c r="D56" s="1725"/>
      <c r="E56" s="1677"/>
      <c r="F56" s="1679"/>
      <c r="G56" s="1677"/>
      <c r="H56" s="1679"/>
      <c r="I56" s="1682"/>
      <c r="J56" s="1665"/>
      <c r="K56" s="1667"/>
      <c r="L56" s="902"/>
      <c r="M56" s="902">
        <v>281</v>
      </c>
      <c r="N56" s="902"/>
      <c r="O56" s="902"/>
      <c r="P56" s="903">
        <v>281</v>
      </c>
      <c r="Q56" s="903"/>
      <c r="R56" s="902"/>
      <c r="S56" s="883"/>
      <c r="T56" s="883"/>
      <c r="U56" s="883"/>
      <c r="V56" s="884"/>
      <c r="W56" s="884"/>
      <c r="X56" s="884"/>
      <c r="Y56" s="883"/>
      <c r="Z56" s="883"/>
      <c r="AA56" s="883"/>
      <c r="AB56" s="885"/>
      <c r="AC56" s="886"/>
      <c r="AD56" s="887"/>
    </row>
    <row r="57" spans="3:30" ht="13.5">
      <c r="C57" s="1724"/>
      <c r="D57" s="1725"/>
      <c r="E57" s="1677"/>
      <c r="F57" s="1679"/>
      <c r="G57" s="1677"/>
      <c r="H57" s="1679"/>
      <c r="I57" s="1682"/>
      <c r="J57" s="1665"/>
      <c r="K57" s="1667"/>
      <c r="L57" s="902"/>
      <c r="M57" s="902"/>
      <c r="N57" s="902">
        <v>441</v>
      </c>
      <c r="O57" s="902">
        <v>972</v>
      </c>
      <c r="P57" s="903"/>
      <c r="Q57" s="903">
        <v>4</v>
      </c>
      <c r="R57" s="902"/>
      <c r="S57" s="883"/>
      <c r="T57" s="883"/>
      <c r="U57" s="883"/>
      <c r="V57" s="884"/>
      <c r="W57" s="884"/>
      <c r="X57" s="884"/>
      <c r="Y57" s="883"/>
      <c r="Z57" s="883"/>
      <c r="AA57" s="883"/>
      <c r="AB57" s="885"/>
      <c r="AC57" s="886"/>
      <c r="AD57" s="887"/>
    </row>
    <row r="58" spans="3:30" ht="15" thickBot="1">
      <c r="C58" s="1726"/>
      <c r="D58" s="1727"/>
      <c r="E58" s="1525"/>
      <c r="F58" s="1680"/>
      <c r="G58" s="1525"/>
      <c r="H58" s="1680"/>
      <c r="I58" s="1683"/>
      <c r="J58" s="1695"/>
      <c r="K58" s="1668"/>
      <c r="L58" s="888"/>
      <c r="M58" s="888"/>
      <c r="N58" s="888">
        <v>879</v>
      </c>
      <c r="O58" s="888">
        <v>879</v>
      </c>
      <c r="P58" s="889"/>
      <c r="Q58" s="889"/>
      <c r="R58" s="888"/>
      <c r="S58" s="890"/>
      <c r="T58" s="890"/>
      <c r="U58" s="890"/>
      <c r="V58" s="891"/>
      <c r="W58" s="891"/>
      <c r="X58" s="891"/>
      <c r="Y58" s="1070">
        <v>879</v>
      </c>
      <c r="Z58" s="890"/>
      <c r="AA58" s="890"/>
      <c r="AB58" s="892"/>
      <c r="AC58" s="893"/>
      <c r="AD58" s="894"/>
    </row>
    <row r="59" spans="3:30" ht="13.5">
      <c r="C59" s="1731" t="s">
        <v>239</v>
      </c>
      <c r="D59" s="1732"/>
      <c r="E59" s="1733">
        <v>109</v>
      </c>
      <c r="F59" s="1734">
        <f>E59/$E$89</f>
        <v>0.13022700119474312</v>
      </c>
      <c r="G59" s="1524">
        <f>COUNTA(L59:AD66)-4</f>
        <v>24</v>
      </c>
      <c r="H59" s="1678">
        <f>G59/E59</f>
        <v>0.22018348623853212</v>
      </c>
      <c r="I59" s="1681">
        <f>$L$5*COUNTA(L59:L66)+$M$5*COUNTA(M59:M66)+$O$5*COUNTA(O59:O66)+$P$5*COUNTA(P59:P66)+$S$5*COUNTA(S59:S66)+$T$5*COUNTA(T59:T66)+$U$5*COUNTA(U59:U66)+$V$5*COUNTA(V59:V66)+$Y$5*COUNTA(Y59:Y66)+$Z$5*COUNTA(Z59:Z66)+$AA$5*COUNTA(AA59:AA66)+$AC$5*COUNTA(AC59:AC66)+$AD$5*COUNTA(AD59:AD66)+$N$5*COUNTA(N59:N66)+$W$5*COUNTA(W59:W66)+$R$5*COUNTA(R59:R66)+$Q$5*COUNTA(Q59:Q66)+$X$5*COUNTA(X59:X66)+$AB$5*COUNTA(AB59:AB66)</f>
        <v>6071.2</v>
      </c>
      <c r="J59" s="1664">
        <f>I59/I89</f>
        <v>0.13026718806155893</v>
      </c>
      <c r="K59" s="1666">
        <f>I59/G59</f>
        <v>252.96666666666667</v>
      </c>
      <c r="L59" s="895"/>
      <c r="M59" s="895">
        <v>47</v>
      </c>
      <c r="N59" s="895"/>
      <c r="O59" s="895"/>
      <c r="P59" s="896">
        <v>47</v>
      </c>
      <c r="Q59" s="896"/>
      <c r="R59" s="895"/>
      <c r="S59" s="867">
        <v>118</v>
      </c>
      <c r="T59" s="867"/>
      <c r="U59" s="867"/>
      <c r="V59" s="868"/>
      <c r="W59" s="868"/>
      <c r="X59" s="868"/>
      <c r="Y59" s="867">
        <v>81</v>
      </c>
      <c r="Z59" s="867"/>
      <c r="AA59" s="867"/>
      <c r="AB59" s="869"/>
      <c r="AC59" s="870"/>
      <c r="AD59" s="871"/>
    </row>
    <row r="60" spans="3:30" ht="13.5">
      <c r="C60" s="1687"/>
      <c r="D60" s="1688"/>
      <c r="E60" s="1691"/>
      <c r="F60" s="1693"/>
      <c r="G60" s="1677"/>
      <c r="H60" s="1679"/>
      <c r="I60" s="1682"/>
      <c r="J60" s="1665"/>
      <c r="K60" s="1667"/>
      <c r="L60" s="900"/>
      <c r="M60" s="900">
        <v>543</v>
      </c>
      <c r="N60" s="900"/>
      <c r="O60" s="900"/>
      <c r="P60" s="901">
        <v>543</v>
      </c>
      <c r="Q60" s="901"/>
      <c r="R60" s="900"/>
      <c r="S60" s="883">
        <v>12</v>
      </c>
      <c r="T60" s="875"/>
      <c r="U60" s="875"/>
      <c r="V60" s="876"/>
      <c r="W60" s="876"/>
      <c r="X60" s="876"/>
      <c r="Y60" s="875"/>
      <c r="Z60" s="875"/>
      <c r="AA60" s="875"/>
      <c r="AB60" s="877"/>
      <c r="AC60" s="878">
        <v>77</v>
      </c>
      <c r="AD60" s="879"/>
    </row>
    <row r="61" spans="3:30" ht="13.5">
      <c r="C61" s="1687"/>
      <c r="D61" s="1688"/>
      <c r="E61" s="1691"/>
      <c r="F61" s="1693"/>
      <c r="G61" s="1677"/>
      <c r="H61" s="1679"/>
      <c r="I61" s="1682"/>
      <c r="J61" s="1665"/>
      <c r="K61" s="1667"/>
      <c r="L61" s="902"/>
      <c r="M61" s="902"/>
      <c r="N61" s="902">
        <v>128</v>
      </c>
      <c r="O61" s="902"/>
      <c r="P61" s="903"/>
      <c r="Q61" s="903"/>
      <c r="R61" s="902"/>
      <c r="S61" s="883">
        <v>382</v>
      </c>
      <c r="T61" s="883"/>
      <c r="U61" s="883"/>
      <c r="V61" s="884"/>
      <c r="W61" s="884"/>
      <c r="X61" s="884"/>
      <c r="Y61" s="883"/>
      <c r="Z61" s="883"/>
      <c r="AA61" s="883"/>
      <c r="AB61" s="885"/>
      <c r="AC61" s="886"/>
      <c r="AD61" s="887"/>
    </row>
    <row r="62" spans="3:31" ht="13.5">
      <c r="C62" s="1687"/>
      <c r="D62" s="1688"/>
      <c r="E62" s="1691"/>
      <c r="F62" s="1693"/>
      <c r="G62" s="1677"/>
      <c r="H62" s="1679"/>
      <c r="I62" s="1682"/>
      <c r="J62" s="1665"/>
      <c r="K62" s="1667"/>
      <c r="L62" s="902"/>
      <c r="M62" s="902">
        <v>602</v>
      </c>
      <c r="N62" s="902">
        <v>38</v>
      </c>
      <c r="O62" s="902"/>
      <c r="P62" s="903"/>
      <c r="Q62" s="903"/>
      <c r="R62" s="902">
        <v>556</v>
      </c>
      <c r="S62" s="883">
        <v>283</v>
      </c>
      <c r="T62" s="883"/>
      <c r="U62" s="883"/>
      <c r="V62" s="884"/>
      <c r="W62" s="884"/>
      <c r="X62" s="884"/>
      <c r="Y62" s="883"/>
      <c r="Z62" s="883"/>
      <c r="AA62" s="883"/>
      <c r="AB62" s="885"/>
      <c r="AC62" s="886"/>
      <c r="AD62" s="1071">
        <v>261</v>
      </c>
      <c r="AE62" t="s">
        <v>295</v>
      </c>
    </row>
    <row r="63" spans="3:30" ht="13.5">
      <c r="C63" s="1687"/>
      <c r="D63" s="1688"/>
      <c r="E63" s="1691"/>
      <c r="F63" s="1693"/>
      <c r="G63" s="1677"/>
      <c r="H63" s="1679"/>
      <c r="I63" s="1682"/>
      <c r="J63" s="1665"/>
      <c r="K63" s="1667"/>
      <c r="L63" s="902"/>
      <c r="M63" s="902"/>
      <c r="N63" s="902"/>
      <c r="O63" s="902"/>
      <c r="P63" s="903"/>
      <c r="Q63" s="903"/>
      <c r="R63" s="902"/>
      <c r="S63" s="883">
        <v>1546</v>
      </c>
      <c r="T63" s="883"/>
      <c r="U63" s="883"/>
      <c r="V63" s="884"/>
      <c r="W63" s="884"/>
      <c r="X63" s="884"/>
      <c r="Y63" s="883"/>
      <c r="Z63" s="883"/>
      <c r="AA63" s="883"/>
      <c r="AB63" s="885"/>
      <c r="AC63" s="886"/>
      <c r="AD63" s="887"/>
    </row>
    <row r="64" spans="3:30" ht="13.5">
      <c r="C64" s="1687"/>
      <c r="D64" s="1688"/>
      <c r="E64" s="1691"/>
      <c r="F64" s="1693"/>
      <c r="G64" s="1677"/>
      <c r="H64" s="1679"/>
      <c r="I64" s="1682"/>
      <c r="J64" s="1665"/>
      <c r="K64" s="1667"/>
      <c r="L64" s="902"/>
      <c r="M64" s="902">
        <v>476</v>
      </c>
      <c r="N64" s="902"/>
      <c r="O64" s="902">
        <v>1620</v>
      </c>
      <c r="P64" s="903">
        <v>907</v>
      </c>
      <c r="Q64" s="903"/>
      <c r="R64" s="902"/>
      <c r="S64" s="883">
        <v>985</v>
      </c>
      <c r="T64" s="883"/>
      <c r="U64" s="883"/>
      <c r="V64" s="884"/>
      <c r="W64" s="884"/>
      <c r="X64" s="884"/>
      <c r="Y64" s="883"/>
      <c r="Z64" s="883"/>
      <c r="AA64" s="883"/>
      <c r="AB64" s="885"/>
      <c r="AC64" s="886"/>
      <c r="AD64" s="887"/>
    </row>
    <row r="65" spans="3:30" ht="13.5">
      <c r="C65" s="1687"/>
      <c r="D65" s="1688"/>
      <c r="E65" s="1691"/>
      <c r="F65" s="1693"/>
      <c r="G65" s="1677"/>
      <c r="H65" s="1679"/>
      <c r="I65" s="1682"/>
      <c r="J65" s="1665"/>
      <c r="K65" s="1667"/>
      <c r="L65" s="902"/>
      <c r="M65" s="902"/>
      <c r="N65" s="902"/>
      <c r="O65" s="902"/>
      <c r="P65" s="903">
        <v>61</v>
      </c>
      <c r="Q65" s="903"/>
      <c r="R65" s="902"/>
      <c r="S65" s="883">
        <v>156</v>
      </c>
      <c r="T65" s="883"/>
      <c r="U65" s="883"/>
      <c r="V65" s="884">
        <v>654</v>
      </c>
      <c r="W65" s="884"/>
      <c r="X65" s="884"/>
      <c r="Y65" s="883">
        <v>654</v>
      </c>
      <c r="Z65" s="883"/>
      <c r="AA65" s="883"/>
      <c r="AB65" s="885"/>
      <c r="AC65" s="886"/>
      <c r="AD65" s="887"/>
    </row>
    <row r="66" spans="3:30" ht="15" thickBot="1">
      <c r="C66" s="1687"/>
      <c r="D66" s="1688"/>
      <c r="E66" s="1691"/>
      <c r="F66" s="1693"/>
      <c r="G66" s="1677"/>
      <c r="H66" s="1679"/>
      <c r="I66" s="1682"/>
      <c r="J66" s="1665"/>
      <c r="K66" s="1667"/>
      <c r="L66" s="902"/>
      <c r="M66" s="902"/>
      <c r="N66" s="902"/>
      <c r="O66" s="902"/>
      <c r="P66" s="903"/>
      <c r="Q66" s="903"/>
      <c r="R66" s="902"/>
      <c r="S66" s="883">
        <v>343</v>
      </c>
      <c r="T66" s="883"/>
      <c r="U66" s="883"/>
      <c r="V66" s="884"/>
      <c r="W66" s="884"/>
      <c r="X66" s="884"/>
      <c r="Y66" s="883">
        <v>856</v>
      </c>
      <c r="Z66" s="883"/>
      <c r="AA66" s="883"/>
      <c r="AB66" s="885">
        <v>343</v>
      </c>
      <c r="AC66" s="886">
        <v>257</v>
      </c>
      <c r="AD66" s="887"/>
    </row>
    <row r="67" spans="3:30" ht="13.5">
      <c r="C67" s="1722" t="s">
        <v>240</v>
      </c>
      <c r="D67" s="1723"/>
      <c r="E67" s="1524">
        <v>43</v>
      </c>
      <c r="F67" s="1678">
        <f>E67/$E$89</f>
        <v>0.05137395459976105</v>
      </c>
      <c r="G67" s="1524">
        <f>COUNTA(L67:AD70)-7</f>
        <v>6</v>
      </c>
      <c r="H67" s="1678">
        <f>G67/E67</f>
        <v>0.13953488372093023</v>
      </c>
      <c r="I67" s="1681">
        <f>$L$5*COUNTA(L67:L70)+$M$5*COUNTA(M67:M70)+$O$5*COUNTA(O67:O70)+$P$5*COUNTA(P67:P70)+$S$5*COUNTA(S67:S70)+$T$5*COUNTA(T67:T70)+$U$5*COUNTA(U67:U70)+$V$5*COUNTA(V67:V70)+$Y$5*COUNTA(Y67:Y70)+$Z$5*COUNTA(Z67:Z70)+$AA$5*COUNTA(AA67:AA70)+$AC$5*COUNTA(AC67:AC70)+$AD$5*COUNTA(AD67:AD70)+$N$5*COUNTA(N67:N70)+$W$5*COUNTA(W67:W70)+$R$5*COUNTA(R67:R70)+$Q$5*COUNTA(Q67:Q70)+$X$5*COUNTA(X67:X70)+$AB$5*COUNTA(AB67:AB70)</f>
        <v>2500.4</v>
      </c>
      <c r="J67" s="1664">
        <f>I67/I89</f>
        <v>0.05365003245307715</v>
      </c>
      <c r="K67" s="1728">
        <f>I67/G67</f>
        <v>416.73333333333335</v>
      </c>
      <c r="L67" s="895"/>
      <c r="M67" s="895"/>
      <c r="N67" s="895">
        <v>173</v>
      </c>
      <c r="O67" s="895">
        <v>173</v>
      </c>
      <c r="P67" s="896"/>
      <c r="Q67" s="896"/>
      <c r="R67" s="895"/>
      <c r="S67" s="867"/>
      <c r="T67" s="867"/>
      <c r="U67" s="867"/>
      <c r="V67" s="868"/>
      <c r="W67" s="868"/>
      <c r="X67" s="868"/>
      <c r="Y67" s="867">
        <v>173</v>
      </c>
      <c r="Z67" s="867"/>
      <c r="AA67" s="867"/>
      <c r="AB67" s="869"/>
      <c r="AC67" s="870"/>
      <c r="AD67" s="871"/>
    </row>
    <row r="68" spans="3:30" ht="13.5">
      <c r="C68" s="1724"/>
      <c r="D68" s="1725"/>
      <c r="E68" s="1677"/>
      <c r="F68" s="1679"/>
      <c r="G68" s="1677"/>
      <c r="H68" s="1679"/>
      <c r="I68" s="1682"/>
      <c r="J68" s="1665"/>
      <c r="K68" s="1729"/>
      <c r="L68" s="900"/>
      <c r="M68" s="900"/>
      <c r="N68" s="900">
        <v>588</v>
      </c>
      <c r="O68" s="900">
        <v>588</v>
      </c>
      <c r="P68" s="901"/>
      <c r="Q68" s="901"/>
      <c r="R68" s="900"/>
      <c r="S68" s="875">
        <v>1698</v>
      </c>
      <c r="T68" s="875"/>
      <c r="U68" s="875"/>
      <c r="V68" s="876"/>
      <c r="W68" s="876"/>
      <c r="X68" s="876"/>
      <c r="Y68" s="875">
        <v>588</v>
      </c>
      <c r="Z68" s="875"/>
      <c r="AA68" s="875"/>
      <c r="AB68" s="877"/>
      <c r="AC68" s="878"/>
      <c r="AD68" s="879"/>
    </row>
    <row r="69" spans="3:30" ht="13.5">
      <c r="C69" s="1724"/>
      <c r="D69" s="1725"/>
      <c r="E69" s="1677"/>
      <c r="F69" s="1679"/>
      <c r="G69" s="1677"/>
      <c r="H69" s="1679"/>
      <c r="I69" s="1682"/>
      <c r="J69" s="1665"/>
      <c r="K69" s="1729"/>
      <c r="L69" s="902"/>
      <c r="M69" s="902"/>
      <c r="N69" s="902">
        <v>90</v>
      </c>
      <c r="O69" s="902"/>
      <c r="P69" s="903">
        <v>90</v>
      </c>
      <c r="Q69" s="903"/>
      <c r="R69" s="902"/>
      <c r="S69" s="883"/>
      <c r="T69" s="883"/>
      <c r="U69" s="883"/>
      <c r="V69" s="884"/>
      <c r="W69" s="884"/>
      <c r="X69" s="884"/>
      <c r="Y69" s="883"/>
      <c r="Z69" s="883"/>
      <c r="AA69" s="883"/>
      <c r="AB69" s="885"/>
      <c r="AC69" s="886"/>
      <c r="AD69" s="887"/>
    </row>
    <row r="70" spans="3:30" ht="15" thickBot="1">
      <c r="C70" s="1726"/>
      <c r="D70" s="1727"/>
      <c r="E70" s="1525"/>
      <c r="F70" s="1680"/>
      <c r="G70" s="1525"/>
      <c r="H70" s="1680"/>
      <c r="I70" s="1683"/>
      <c r="J70" s="1695"/>
      <c r="K70" s="1730"/>
      <c r="L70" s="927"/>
      <c r="M70" s="927"/>
      <c r="N70" s="927">
        <v>351</v>
      </c>
      <c r="O70" s="927"/>
      <c r="P70" s="889">
        <v>351</v>
      </c>
      <c r="Q70" s="889"/>
      <c r="R70" s="927"/>
      <c r="S70" s="890">
        <v>605</v>
      </c>
      <c r="T70" s="890"/>
      <c r="U70" s="890"/>
      <c r="V70" s="891"/>
      <c r="W70" s="891"/>
      <c r="X70" s="891"/>
      <c r="Y70" s="890">
        <v>605</v>
      </c>
      <c r="Z70" s="890"/>
      <c r="AA70" s="890"/>
      <c r="AB70" s="892"/>
      <c r="AC70" s="893"/>
      <c r="AD70" s="894"/>
    </row>
    <row r="71" spans="3:30" ht="13.5">
      <c r="C71" s="1696" t="s">
        <v>241</v>
      </c>
      <c r="D71" s="1697"/>
      <c r="E71" s="1706">
        <v>93</v>
      </c>
      <c r="F71" s="1711">
        <f>E71/$E$89</f>
        <v>0.1111111111111111</v>
      </c>
      <c r="G71" s="1716">
        <f>COUNTA(L71:AD76)</f>
        <v>15</v>
      </c>
      <c r="H71" s="1719">
        <f>G71/E71</f>
        <v>0.16129032258064516</v>
      </c>
      <c r="I71" s="1681">
        <f>$L$5*COUNTA(L71:L76)+$M$5*COUNTA(M71:M76)+$O$5*COUNTA(O71:O76)+$P$5*COUNTA(P71:P76)+$S$5*COUNTA(S71:S76)+$T$5*COUNTA(T71:T76)+$U$5*COUNTA(U71:U76)+$V$5*COUNTA(V71:V76)+$Y$5*COUNTA(Y71:Y76)+$Z$5*COUNTA(Z71:Z76)+$AA$5*COUNTA(AA71:AA76)+$AC$5*COUNTA(AC71:AC76)+$AD$5*COUNTA(AD71:AD76)+$N$5*COUNTA(N71:N76)+$W$5*COUNTA(W71:W76)+$R$5*COUNTA(R71:R76)+$Q$5*COUNTA(Q71:Q76)+$X$5*COUNTA(X71:X76)+$AB$5*COUNTA(AB71:AB76)</f>
        <v>3576.3</v>
      </c>
      <c r="J71" s="1684">
        <f>I71/I89</f>
        <v>0.07673516679808823</v>
      </c>
      <c r="K71" s="1666">
        <f>I71/G71</f>
        <v>238.42000000000002</v>
      </c>
      <c r="L71" s="895">
        <v>193</v>
      </c>
      <c r="M71" s="895">
        <v>256</v>
      </c>
      <c r="N71" s="895">
        <v>195</v>
      </c>
      <c r="O71" s="895"/>
      <c r="P71" s="896"/>
      <c r="Q71" s="896">
        <v>634</v>
      </c>
      <c r="R71" s="895"/>
      <c r="S71" s="867">
        <v>649</v>
      </c>
      <c r="T71" s="867"/>
      <c r="U71" s="867"/>
      <c r="V71" s="868"/>
      <c r="W71" s="868"/>
      <c r="X71" s="868"/>
      <c r="Y71" s="867"/>
      <c r="Z71" s="867"/>
      <c r="AA71" s="867">
        <v>465</v>
      </c>
      <c r="AB71" s="869"/>
      <c r="AC71" s="870">
        <v>464</v>
      </c>
      <c r="AD71" s="871"/>
    </row>
    <row r="72" spans="3:30" ht="13.5">
      <c r="C72" s="1698"/>
      <c r="D72" s="1699"/>
      <c r="E72" s="1707"/>
      <c r="F72" s="1712"/>
      <c r="G72" s="1717"/>
      <c r="H72" s="1720"/>
      <c r="I72" s="1682"/>
      <c r="J72" s="1685"/>
      <c r="K72" s="1667"/>
      <c r="L72" s="900"/>
      <c r="M72" s="900">
        <v>798</v>
      </c>
      <c r="N72" s="900"/>
      <c r="O72" s="900"/>
      <c r="P72" s="901"/>
      <c r="Q72" s="901"/>
      <c r="R72" s="900"/>
      <c r="S72" s="875">
        <v>993</v>
      </c>
      <c r="T72" s="875"/>
      <c r="U72" s="875"/>
      <c r="V72" s="876"/>
      <c r="W72" s="876"/>
      <c r="X72" s="876"/>
      <c r="Y72" s="875"/>
      <c r="Z72" s="875">
        <v>134</v>
      </c>
      <c r="AA72" s="875"/>
      <c r="AB72" s="877"/>
      <c r="AC72" s="878"/>
      <c r="AD72" s="879"/>
    </row>
    <row r="73" spans="3:30" ht="13.5">
      <c r="C73" s="1700"/>
      <c r="D73" s="1701"/>
      <c r="E73" s="1708"/>
      <c r="F73" s="1713"/>
      <c r="G73" s="1717"/>
      <c r="H73" s="1720"/>
      <c r="I73" s="1682"/>
      <c r="J73" s="1685"/>
      <c r="K73" s="1667"/>
      <c r="L73" s="900"/>
      <c r="M73" s="900"/>
      <c r="N73" s="900"/>
      <c r="O73" s="900"/>
      <c r="P73" s="901"/>
      <c r="Q73" s="901"/>
      <c r="R73" s="900"/>
      <c r="S73" s="875">
        <v>235</v>
      </c>
      <c r="T73" s="875"/>
      <c r="U73" s="875"/>
      <c r="V73" s="876"/>
      <c r="W73" s="876"/>
      <c r="X73" s="876"/>
      <c r="Y73" s="875"/>
      <c r="Z73" s="875">
        <v>593</v>
      </c>
      <c r="AA73" s="875"/>
      <c r="AB73" s="877"/>
      <c r="AC73" s="878"/>
      <c r="AD73" s="879"/>
    </row>
    <row r="74" spans="3:30" ht="13.5">
      <c r="C74" s="1702"/>
      <c r="D74" s="1703"/>
      <c r="E74" s="1709"/>
      <c r="F74" s="1714"/>
      <c r="G74" s="1717"/>
      <c r="H74" s="1720"/>
      <c r="I74" s="1682"/>
      <c r="J74" s="1685"/>
      <c r="K74" s="1667"/>
      <c r="L74" s="902"/>
      <c r="M74" s="902"/>
      <c r="N74" s="902"/>
      <c r="O74" s="902"/>
      <c r="P74" s="903"/>
      <c r="Q74" s="903"/>
      <c r="R74" s="902"/>
      <c r="S74" s="883">
        <v>76</v>
      </c>
      <c r="T74" s="883"/>
      <c r="U74" s="883"/>
      <c r="V74" s="884"/>
      <c r="W74" s="884"/>
      <c r="X74" s="884"/>
      <c r="Y74" s="883"/>
      <c r="Z74" s="883"/>
      <c r="AA74" s="883"/>
      <c r="AB74" s="885"/>
      <c r="AC74" s="886"/>
      <c r="AD74" s="887"/>
    </row>
    <row r="75" spans="3:30" ht="13.5">
      <c r="C75" s="1702"/>
      <c r="D75" s="1703"/>
      <c r="E75" s="1709"/>
      <c r="F75" s="1714"/>
      <c r="G75" s="1717"/>
      <c r="H75" s="1720"/>
      <c r="I75" s="1682"/>
      <c r="J75" s="1685"/>
      <c r="K75" s="1667"/>
      <c r="L75" s="902"/>
      <c r="M75" s="902"/>
      <c r="N75" s="902"/>
      <c r="O75" s="902"/>
      <c r="P75" s="903"/>
      <c r="Q75" s="903"/>
      <c r="R75" s="902"/>
      <c r="S75" s="883">
        <v>886</v>
      </c>
      <c r="T75" s="883"/>
      <c r="U75" s="883"/>
      <c r="V75" s="884"/>
      <c r="W75" s="884"/>
      <c r="X75" s="884"/>
      <c r="Y75" s="883"/>
      <c r="Z75" s="883"/>
      <c r="AA75" s="883"/>
      <c r="AB75" s="885"/>
      <c r="AC75" s="886"/>
      <c r="AD75" s="887"/>
    </row>
    <row r="76" spans="3:30" ht="15" thickBot="1">
      <c r="C76" s="1704"/>
      <c r="D76" s="1705"/>
      <c r="E76" s="1710"/>
      <c r="F76" s="1715"/>
      <c r="G76" s="1718"/>
      <c r="H76" s="1721"/>
      <c r="I76" s="1683"/>
      <c r="J76" s="1686"/>
      <c r="K76" s="1668"/>
      <c r="L76" s="888"/>
      <c r="M76" s="888"/>
      <c r="N76" s="888"/>
      <c r="O76" s="888"/>
      <c r="P76" s="889"/>
      <c r="Q76" s="889"/>
      <c r="R76" s="888"/>
      <c r="S76" s="890">
        <v>621</v>
      </c>
      <c r="T76" s="890"/>
      <c r="U76" s="890"/>
      <c r="V76" s="891"/>
      <c r="W76" s="891"/>
      <c r="X76" s="891"/>
      <c r="Y76" s="890"/>
      <c r="Z76" s="890"/>
      <c r="AA76" s="890"/>
      <c r="AB76" s="892"/>
      <c r="AC76" s="893"/>
      <c r="AD76" s="894"/>
    </row>
    <row r="77" spans="3:30" ht="13.5">
      <c r="C77" s="1687" t="s">
        <v>243</v>
      </c>
      <c r="D77" s="1688"/>
      <c r="E77" s="1691">
        <v>50</v>
      </c>
      <c r="F77" s="1693">
        <f>E77/$E$89</f>
        <v>0.05973715651135006</v>
      </c>
      <c r="G77" s="1524">
        <f>COUNTA(L77:AD82)-4</f>
        <v>3</v>
      </c>
      <c r="H77" s="1678">
        <f>G77/E77</f>
        <v>0.06</v>
      </c>
      <c r="I77" s="1681">
        <f>$L$5*COUNTA(L77:L82)+$M$5*COUNTA(M77:M82)+$O$5*COUNTA(O77:O82)+$P$5*COUNTA(P77:P82)+$S$5*COUNTA(S77:S82)+$T$5*COUNTA(T77:T82)+$U$5*COUNTA(U77:U82)+$V$5*COUNTA(V77:V82)+$Y$5*COUNTA(Y77:Y82)+$Z$5*COUNTA(Z77:Z82)+$AA$5*COUNTA(AA77:AA82)+$AC$5*COUNTA(AC77:AC82)+$AD$5*COUNTA(AD77:AD82)+$N$5*COUNTA(N77:N82)+$N$5*COUNTA(W77:W82)+$R$5*COUNTA(R77:R82)+$Q$5*COUNTA(Q77:Q82)+$X$5*COUNTA(X77:X82)+$AB$5*COUNTA(AB77:AB82)</f>
        <v>1125.6999999999998</v>
      </c>
      <c r="J77" s="1664">
        <f>I77/I89</f>
        <v>0.024153672025447503</v>
      </c>
      <c r="K77" s="1666">
        <f>I77/G77</f>
        <v>375.2333333333333</v>
      </c>
      <c r="L77" s="895"/>
      <c r="M77" s="895"/>
      <c r="N77" s="895"/>
      <c r="O77" s="895"/>
      <c r="P77" s="896"/>
      <c r="Q77" s="896">
        <v>668</v>
      </c>
      <c r="R77" s="895"/>
      <c r="S77" s="867"/>
      <c r="T77" s="867"/>
      <c r="U77" s="867"/>
      <c r="V77" s="868"/>
      <c r="W77" s="868"/>
      <c r="X77" s="868"/>
      <c r="Y77" s="867"/>
      <c r="Z77" s="867"/>
      <c r="AA77" s="867"/>
      <c r="AB77" s="869"/>
      <c r="AC77" s="870"/>
      <c r="AD77" s="871"/>
    </row>
    <row r="78" spans="3:30" ht="13.5">
      <c r="C78" s="1687"/>
      <c r="D78" s="1688"/>
      <c r="E78" s="1691"/>
      <c r="F78" s="1693"/>
      <c r="G78" s="1677"/>
      <c r="H78" s="1679"/>
      <c r="I78" s="1682"/>
      <c r="J78" s="1665"/>
      <c r="K78" s="1667"/>
      <c r="L78" s="900"/>
      <c r="M78" s="900">
        <v>557</v>
      </c>
      <c r="N78" s="900"/>
      <c r="O78" s="900"/>
      <c r="P78" s="901">
        <v>557</v>
      </c>
      <c r="Q78" s="901"/>
      <c r="R78" s="900"/>
      <c r="S78" s="875"/>
      <c r="T78" s="875"/>
      <c r="U78" s="875"/>
      <c r="V78" s="876"/>
      <c r="W78" s="876"/>
      <c r="X78" s="876"/>
      <c r="Y78" s="875"/>
      <c r="Z78" s="875"/>
      <c r="AA78" s="875"/>
      <c r="AB78" s="877"/>
      <c r="AC78" s="878"/>
      <c r="AD78" s="879"/>
    </row>
    <row r="79" spans="3:30" ht="13.5">
      <c r="C79" s="1687"/>
      <c r="D79" s="1688"/>
      <c r="E79" s="1691"/>
      <c r="F79" s="1693"/>
      <c r="G79" s="1677"/>
      <c r="H79" s="1679"/>
      <c r="I79" s="1682"/>
      <c r="J79" s="1665"/>
      <c r="K79" s="1667"/>
      <c r="L79" s="902"/>
      <c r="M79" s="902"/>
      <c r="N79" s="902"/>
      <c r="O79" s="902"/>
      <c r="P79" s="903"/>
      <c r="Q79" s="903"/>
      <c r="R79" s="902"/>
      <c r="S79" s="1072"/>
      <c r="T79" s="883"/>
      <c r="U79" s="883"/>
      <c r="V79" s="884"/>
      <c r="W79" s="884"/>
      <c r="X79" s="884"/>
      <c r="Y79" s="883"/>
      <c r="Z79" s="883"/>
      <c r="AA79" s="883"/>
      <c r="AB79" s="885"/>
      <c r="AC79" s="886"/>
      <c r="AD79" s="887"/>
    </row>
    <row r="80" spans="3:30" ht="13.5">
      <c r="C80" s="1687"/>
      <c r="D80" s="1688"/>
      <c r="E80" s="1691"/>
      <c r="F80" s="1693"/>
      <c r="G80" s="1677"/>
      <c r="H80" s="1679"/>
      <c r="I80" s="1682"/>
      <c r="J80" s="1665"/>
      <c r="K80" s="1667"/>
      <c r="L80" s="902"/>
      <c r="M80" s="902"/>
      <c r="N80" s="902"/>
      <c r="O80" s="902">
        <v>964</v>
      </c>
      <c r="P80" s="903"/>
      <c r="Q80" s="903"/>
      <c r="R80" s="902"/>
      <c r="S80" s="883"/>
      <c r="T80" s="883"/>
      <c r="U80" s="883"/>
      <c r="V80" s="884"/>
      <c r="W80" s="884"/>
      <c r="X80" s="884"/>
      <c r="Y80" s="883"/>
      <c r="Z80" s="883"/>
      <c r="AA80" s="883"/>
      <c r="AB80" s="885"/>
      <c r="AC80" s="886"/>
      <c r="AD80" s="887"/>
    </row>
    <row r="81" spans="3:30" ht="13.5">
      <c r="C81" s="1687"/>
      <c r="D81" s="1688"/>
      <c r="E81" s="1691"/>
      <c r="F81" s="1693"/>
      <c r="G81" s="1677"/>
      <c r="H81" s="1679"/>
      <c r="I81" s="1682"/>
      <c r="J81" s="1665"/>
      <c r="K81" s="1667"/>
      <c r="L81" s="902"/>
      <c r="M81" s="902"/>
      <c r="N81" s="902">
        <v>1697</v>
      </c>
      <c r="O81" s="902"/>
      <c r="P81" s="903">
        <v>1697</v>
      </c>
      <c r="Q81" s="903"/>
      <c r="R81" s="902"/>
      <c r="S81" s="883"/>
      <c r="T81" s="883"/>
      <c r="U81" s="883"/>
      <c r="V81" s="884"/>
      <c r="W81" s="884"/>
      <c r="X81" s="884"/>
      <c r="Y81" s="883">
        <v>1697</v>
      </c>
      <c r="Z81" s="883"/>
      <c r="AA81" s="883"/>
      <c r="AB81" s="885"/>
      <c r="AC81" s="886"/>
      <c r="AD81" s="887"/>
    </row>
    <row r="82" spans="3:30" ht="15" thickBot="1">
      <c r="C82" s="1689"/>
      <c r="D82" s="1690"/>
      <c r="E82" s="1692"/>
      <c r="F82" s="1694"/>
      <c r="G82" s="1525"/>
      <c r="H82" s="1680"/>
      <c r="I82" s="1683"/>
      <c r="J82" s="1695"/>
      <c r="K82" s="1668"/>
      <c r="L82" s="888"/>
      <c r="M82" s="888"/>
      <c r="N82" s="888"/>
      <c r="O82" s="888"/>
      <c r="P82" s="889"/>
      <c r="Q82" s="889"/>
      <c r="R82" s="888"/>
      <c r="S82" s="890"/>
      <c r="T82" s="890"/>
      <c r="U82" s="890"/>
      <c r="V82" s="891"/>
      <c r="W82" s="891"/>
      <c r="X82" s="891"/>
      <c r="Y82" s="890"/>
      <c r="Z82" s="890"/>
      <c r="AA82" s="890"/>
      <c r="AB82" s="892"/>
      <c r="AC82" s="893"/>
      <c r="AD82" s="894"/>
    </row>
    <row r="83" spans="3:30" ht="15" thickBot="1">
      <c r="C83" s="1673" t="s">
        <v>269</v>
      </c>
      <c r="D83" s="1674"/>
      <c r="E83" s="1675">
        <v>45</v>
      </c>
      <c r="F83" s="1676">
        <f>E83/$E$89</f>
        <v>0.053763440860215055</v>
      </c>
      <c r="G83" s="1524">
        <f>COUNTA(L83:AD87)-1</f>
        <v>11</v>
      </c>
      <c r="H83" s="1678">
        <f>G83/E83</f>
        <v>0.24444444444444444</v>
      </c>
      <c r="I83" s="1681">
        <f>$L$5*COUNTA(L83:L87)+$M$5*COUNTA(M83:M87)+$O$5*COUNTA(O83:O87)+$P$5*COUNTA(P83:P87)+$S$5*COUNTA(S83:S87)+$T$5*COUNTA(T83:T87)+$U$5*COUNTA(U83:U87)+$V$5*COUNTA(V83:V87)+$Y$5*COUNTA(Y83:Y87)+$Z$5*COUNTA(Z83:Z87)+$AA$5*COUNTA(AA83:AA87)+$AC$5*COUNTA(AC83:AC87)+$AD$5*COUNTA(AD83:AD87)+$N$5*COUNTA(N83:N87)+$W$5*COUNTA(W83:W87)+$R$5*COUNTA(R83:R87)+$Q$5*COUNTA(Q77:Q82)+$X$5*COUNTA(X77:X82)+$AB$5*COUNTA(AV77:AV82)</f>
        <v>2922.2000000000003</v>
      </c>
      <c r="J83" s="1664">
        <f>I83/I89</f>
        <v>0.06270041786689412</v>
      </c>
      <c r="K83" s="1666">
        <f>I83/G83</f>
        <v>265.6545454545455</v>
      </c>
      <c r="L83" s="895"/>
      <c r="M83" s="895"/>
      <c r="N83" s="895">
        <v>262</v>
      </c>
      <c r="O83" s="895"/>
      <c r="P83" s="896">
        <v>262</v>
      </c>
      <c r="Q83" s="896"/>
      <c r="R83" s="895"/>
      <c r="S83" s="867"/>
      <c r="T83" s="867"/>
      <c r="U83" s="867"/>
      <c r="V83" s="868"/>
      <c r="W83" s="868"/>
      <c r="X83" s="868"/>
      <c r="Y83" s="867"/>
      <c r="Z83" s="867">
        <v>360</v>
      </c>
      <c r="AA83" s="867"/>
      <c r="AB83" s="869"/>
      <c r="AC83" s="870">
        <v>179</v>
      </c>
      <c r="AD83" s="871"/>
    </row>
    <row r="84" spans="3:31" ht="15" thickBot="1">
      <c r="C84" s="1673"/>
      <c r="D84" s="1674"/>
      <c r="E84" s="1675"/>
      <c r="F84" s="1676"/>
      <c r="G84" s="1677"/>
      <c r="H84" s="1679"/>
      <c r="I84" s="1682"/>
      <c r="J84" s="1665"/>
      <c r="K84" s="1667"/>
      <c r="L84" s="900"/>
      <c r="M84" s="900"/>
      <c r="N84" s="900"/>
      <c r="O84" s="900"/>
      <c r="P84" s="901"/>
      <c r="Q84" s="901"/>
      <c r="R84" s="900"/>
      <c r="S84" s="875">
        <v>986</v>
      </c>
      <c r="T84" s="875"/>
      <c r="U84" s="875"/>
      <c r="V84" s="876"/>
      <c r="W84" s="876"/>
      <c r="X84" s="876"/>
      <c r="Y84" s="875">
        <v>820</v>
      </c>
      <c r="Z84" s="875"/>
      <c r="AA84" s="875"/>
      <c r="AB84" s="877" t="s">
        <v>296</v>
      </c>
      <c r="AC84" s="878"/>
      <c r="AD84" s="879"/>
      <c r="AE84" t="s">
        <v>297</v>
      </c>
    </row>
    <row r="85" spans="3:30" ht="15" thickBot="1">
      <c r="C85" s="1673"/>
      <c r="D85" s="1674"/>
      <c r="E85" s="1675"/>
      <c r="F85" s="1676"/>
      <c r="G85" s="1677"/>
      <c r="H85" s="1679"/>
      <c r="I85" s="1682"/>
      <c r="J85" s="1665"/>
      <c r="K85" s="1667"/>
      <c r="L85" s="902"/>
      <c r="M85" s="902"/>
      <c r="N85" s="902"/>
      <c r="O85" s="902"/>
      <c r="P85" s="903"/>
      <c r="Q85" s="903"/>
      <c r="R85" s="902"/>
      <c r="S85" s="883"/>
      <c r="T85" s="883"/>
      <c r="U85" s="883"/>
      <c r="V85" s="884"/>
      <c r="W85" s="884"/>
      <c r="X85" s="884"/>
      <c r="Y85" s="883"/>
      <c r="Z85" s="883"/>
      <c r="AA85" s="883"/>
      <c r="AB85" s="885"/>
      <c r="AC85" s="886"/>
      <c r="AD85" s="887">
        <v>1573</v>
      </c>
    </row>
    <row r="86" spans="3:30" ht="15" thickBot="1">
      <c r="C86" s="1673"/>
      <c r="D86" s="1674"/>
      <c r="E86" s="1675"/>
      <c r="F86" s="1676"/>
      <c r="G86" s="1677"/>
      <c r="H86" s="1679"/>
      <c r="I86" s="1682"/>
      <c r="J86" s="1665"/>
      <c r="K86" s="1667"/>
      <c r="L86" s="902"/>
      <c r="M86" s="902"/>
      <c r="N86" s="902"/>
      <c r="O86" s="902"/>
      <c r="P86" s="903"/>
      <c r="Q86" s="903"/>
      <c r="R86" s="902"/>
      <c r="S86" s="883">
        <v>1704</v>
      </c>
      <c r="T86" s="883"/>
      <c r="U86" s="883"/>
      <c r="V86" s="884"/>
      <c r="W86" s="884"/>
      <c r="X86" s="884"/>
      <c r="Y86" s="883">
        <v>1702</v>
      </c>
      <c r="Z86" s="883"/>
      <c r="AA86" s="883"/>
      <c r="AB86" s="885"/>
      <c r="AC86" s="886"/>
      <c r="AD86" s="887">
        <v>1623</v>
      </c>
    </row>
    <row r="87" spans="3:30" ht="15" thickBot="1">
      <c r="C87" s="1673"/>
      <c r="D87" s="1674"/>
      <c r="E87" s="1675"/>
      <c r="F87" s="1676"/>
      <c r="G87" s="1525"/>
      <c r="H87" s="1680"/>
      <c r="I87" s="1683"/>
      <c r="J87" s="1665"/>
      <c r="K87" s="1668"/>
      <c r="L87" s="888"/>
      <c r="M87" s="888"/>
      <c r="N87" s="888"/>
      <c r="O87" s="888"/>
      <c r="P87" s="889"/>
      <c r="Q87" s="1077"/>
      <c r="R87" s="1078"/>
      <c r="S87" s="1079"/>
      <c r="T87" s="1079"/>
      <c r="U87" s="1079"/>
      <c r="V87" s="1080"/>
      <c r="W87" s="1080"/>
      <c r="X87" s="1080"/>
      <c r="Y87" s="1079"/>
      <c r="Z87" s="1079"/>
      <c r="AA87" s="890"/>
      <c r="AB87" s="892"/>
      <c r="AC87" s="893"/>
      <c r="AD87" s="894">
        <v>88</v>
      </c>
    </row>
    <row r="88" spans="3:30" ht="19.5" thickBot="1">
      <c r="C88" s="1669" t="s">
        <v>45</v>
      </c>
      <c r="D88" s="1670"/>
      <c r="E88" s="928"/>
      <c r="F88" s="929"/>
      <c r="G88" s="928"/>
      <c r="H88" s="929"/>
      <c r="I88" s="930"/>
      <c r="J88" s="931"/>
      <c r="K88" s="932"/>
      <c r="L88" s="629">
        <f aca="true" t="shared" si="0" ref="L88:AD88">COUNTA(L6:L87)</f>
        <v>3</v>
      </c>
      <c r="M88" s="629">
        <f t="shared" si="0"/>
        <v>15</v>
      </c>
      <c r="N88" s="629">
        <f t="shared" si="0"/>
        <v>27</v>
      </c>
      <c r="O88" s="629">
        <f t="shared" si="0"/>
        <v>18</v>
      </c>
      <c r="P88" s="629">
        <f t="shared" si="0"/>
        <v>17</v>
      </c>
      <c r="Q88" s="629">
        <f t="shared" si="0"/>
        <v>4</v>
      </c>
      <c r="R88" s="629">
        <f t="shared" si="0"/>
        <v>3</v>
      </c>
      <c r="S88" s="564">
        <f t="shared" si="0"/>
        <v>40</v>
      </c>
      <c r="T88" s="564">
        <f t="shared" si="0"/>
        <v>7</v>
      </c>
      <c r="U88" s="564">
        <f t="shared" si="0"/>
        <v>3</v>
      </c>
      <c r="V88" s="1081">
        <f t="shared" si="0"/>
        <v>4</v>
      </c>
      <c r="W88" s="1081">
        <f t="shared" si="0"/>
        <v>1</v>
      </c>
      <c r="X88" s="1081">
        <f t="shared" si="0"/>
        <v>0</v>
      </c>
      <c r="Y88" s="564">
        <f t="shared" si="0"/>
        <v>22</v>
      </c>
      <c r="Z88" s="1081">
        <f t="shared" si="0"/>
        <v>6</v>
      </c>
      <c r="AA88" s="1073">
        <f t="shared" si="0"/>
        <v>2</v>
      </c>
      <c r="AB88" s="1073">
        <f t="shared" si="0"/>
        <v>6</v>
      </c>
      <c r="AC88" s="939">
        <f t="shared" si="0"/>
        <v>7</v>
      </c>
      <c r="AD88" s="940">
        <f t="shared" si="0"/>
        <v>17</v>
      </c>
    </row>
    <row r="89" spans="3:30" ht="18" thickBot="1" thickTop="1">
      <c r="C89" s="1395" t="s">
        <v>161</v>
      </c>
      <c r="D89" s="1396"/>
      <c r="E89" s="565">
        <f>SUM(E6:E87)</f>
        <v>837</v>
      </c>
      <c r="F89" s="941"/>
      <c r="G89" s="565">
        <f>SUM(G6:G87)</f>
        <v>164</v>
      </c>
      <c r="H89" s="942">
        <f>G89/E89</f>
        <v>0.1959378733572282</v>
      </c>
      <c r="I89" s="947">
        <f>SUM(I6:I87)</f>
        <v>46605.74999999999</v>
      </c>
      <c r="J89" s="569"/>
      <c r="K89" s="946">
        <f>SUM(K6:K87)/22</f>
        <v>174.77968092252576</v>
      </c>
      <c r="L89" s="946">
        <f aca="true" t="shared" si="1" ref="L89:AD89">L5*L88</f>
        <v>255</v>
      </c>
      <c r="M89" s="946">
        <f t="shared" si="1"/>
        <v>3028.5</v>
      </c>
      <c r="N89" s="946">
        <f t="shared" si="1"/>
        <v>4992.3</v>
      </c>
      <c r="O89" s="946">
        <f t="shared" si="1"/>
        <v>2248.2000000000003</v>
      </c>
      <c r="P89" s="946">
        <f t="shared" si="1"/>
        <v>1589.5</v>
      </c>
      <c r="Q89" s="946">
        <f t="shared" si="1"/>
        <v>720</v>
      </c>
      <c r="R89" s="946">
        <f t="shared" si="1"/>
        <v>555</v>
      </c>
      <c r="S89" s="946">
        <f t="shared" si="1"/>
        <v>11660</v>
      </c>
      <c r="T89" s="946">
        <f t="shared" si="1"/>
        <v>5264</v>
      </c>
      <c r="U89" s="946">
        <f t="shared" si="1"/>
        <v>449.84999999999997</v>
      </c>
      <c r="V89" s="947">
        <f t="shared" si="1"/>
        <v>499.6</v>
      </c>
      <c r="W89" s="947">
        <f t="shared" si="1"/>
        <v>249</v>
      </c>
      <c r="X89" s="947">
        <f t="shared" si="1"/>
        <v>0</v>
      </c>
      <c r="Y89" s="946">
        <f t="shared" si="1"/>
        <v>5434</v>
      </c>
      <c r="Z89" s="946">
        <f t="shared" si="1"/>
        <v>1120.8000000000002</v>
      </c>
      <c r="AA89" s="946">
        <f t="shared" si="1"/>
        <v>600</v>
      </c>
      <c r="AB89" s="946">
        <f t="shared" si="1"/>
        <v>672</v>
      </c>
      <c r="AC89" s="946">
        <f t="shared" si="1"/>
        <v>2100</v>
      </c>
      <c r="AD89" s="946">
        <f t="shared" si="1"/>
        <v>5100</v>
      </c>
    </row>
    <row r="90" spans="3:30" ht="15.75" thickBot="1" thickTop="1">
      <c r="C90" s="943"/>
      <c r="D90" s="943"/>
      <c r="E90" s="943"/>
      <c r="F90" s="943"/>
      <c r="G90" s="943"/>
      <c r="H90" s="944"/>
      <c r="I90" s="943"/>
      <c r="J90" s="944"/>
      <c r="K90" s="944"/>
      <c r="L90" s="944"/>
      <c r="M90" s="944"/>
      <c r="N90" s="944"/>
      <c r="O90" s="943"/>
      <c r="P90" s="943"/>
      <c r="Q90" s="943"/>
      <c r="R90" s="943"/>
      <c r="S90" s="943"/>
      <c r="T90" s="943"/>
      <c r="U90" s="943"/>
      <c r="V90" s="943"/>
      <c r="W90" s="943"/>
      <c r="X90" s="943"/>
      <c r="Y90" s="943"/>
      <c r="Z90" s="943"/>
      <c r="AA90" s="943"/>
      <c r="AB90" s="943"/>
      <c r="AC90" s="943"/>
      <c r="AD90" s="943"/>
    </row>
    <row r="91" spans="3:30" ht="22.5" thickBot="1" thickTop="1">
      <c r="C91" s="1846" t="s">
        <v>58</v>
      </c>
      <c r="D91" s="1847"/>
      <c r="E91" s="1847"/>
      <c r="F91" s="1847"/>
      <c r="G91" s="1847"/>
      <c r="H91" s="1847"/>
      <c r="I91" s="1847"/>
      <c r="J91" s="1847"/>
      <c r="K91" s="1847"/>
      <c r="L91" s="1847"/>
      <c r="M91" s="1847"/>
      <c r="N91" s="1847"/>
      <c r="O91" s="1848"/>
      <c r="P91" s="945">
        <f>G89</f>
        <v>164</v>
      </c>
      <c r="Q91" s="945"/>
      <c r="R91" s="945"/>
      <c r="S91" s="576"/>
      <c r="T91" s="576"/>
      <c r="U91" s="576"/>
      <c r="V91" s="576"/>
      <c r="W91" s="576"/>
      <c r="X91" s="576"/>
      <c r="Y91" s="576"/>
      <c r="Z91" s="576"/>
      <c r="AA91" s="576"/>
      <c r="AB91" s="576"/>
      <c r="AC91" s="576"/>
      <c r="AD91" s="576"/>
    </row>
    <row r="92" spans="3:30" ht="22.5" thickBot="1" thickTop="1">
      <c r="C92" s="1846" t="s">
        <v>298</v>
      </c>
      <c r="D92" s="1847"/>
      <c r="E92" s="1847"/>
      <c r="F92" s="1847"/>
      <c r="G92" s="1847"/>
      <c r="H92" s="1847"/>
      <c r="I92" s="1847"/>
      <c r="J92" s="1847"/>
      <c r="K92" s="1847"/>
      <c r="L92" s="1847"/>
      <c r="M92" s="1847"/>
      <c r="N92" s="1847"/>
      <c r="O92" s="1848"/>
      <c r="P92" s="1074">
        <f>I89</f>
        <v>46605.74999999999</v>
      </c>
      <c r="Q92" s="1074"/>
      <c r="R92" s="1074"/>
      <c r="S92" s="576"/>
      <c r="T92" s="1075"/>
      <c r="U92" s="576"/>
      <c r="V92" s="576"/>
      <c r="W92" s="576"/>
      <c r="X92" s="576"/>
      <c r="Y92" s="576"/>
      <c r="Z92" s="576"/>
      <c r="AA92" s="576"/>
      <c r="AB92" s="576"/>
      <c r="AC92" s="576"/>
      <c r="AD92" s="576"/>
    </row>
    <row r="93" spans="3:16" ht="22.5" thickBot="1" thickTop="1">
      <c r="C93" s="1846" t="s">
        <v>299</v>
      </c>
      <c r="D93" s="1847"/>
      <c r="E93" s="1847"/>
      <c r="F93" s="1847"/>
      <c r="G93" s="1847"/>
      <c r="H93" s="1847"/>
      <c r="I93" s="1847"/>
      <c r="J93" s="1847"/>
      <c r="K93" s="1847"/>
      <c r="L93" s="1847"/>
      <c r="M93" s="1847"/>
      <c r="N93" s="1847"/>
      <c r="O93" s="1848"/>
      <c r="P93" s="1076" t="s">
        <v>300</v>
      </c>
    </row>
    <row r="94" ht="13.5" thickTop="1"/>
    <row r="95" ht="12.75">
      <c r="C95" s="707"/>
    </row>
    <row r="96" ht="12.75">
      <c r="C96" s="707"/>
    </row>
    <row r="97" ht="12.75">
      <c r="C97" s="707"/>
    </row>
  </sheetData>
  <sheetProtection/>
  <mergeCells count="127">
    <mergeCell ref="Y2:Y3"/>
    <mergeCell ref="Z2:Z3"/>
    <mergeCell ref="C2:D3"/>
    <mergeCell ref="E2:E3"/>
    <mergeCell ref="F2:F3"/>
    <mergeCell ref="G2:G3"/>
    <mergeCell ref="H2:H3"/>
    <mergeCell ref="I2:I3"/>
    <mergeCell ref="AA2:AA3"/>
    <mergeCell ref="AB2:AB3"/>
    <mergeCell ref="AC2:AC3"/>
    <mergeCell ref="AD2:AD3"/>
    <mergeCell ref="C4:D4"/>
    <mergeCell ref="C5:D5"/>
    <mergeCell ref="J2:J3"/>
    <mergeCell ref="K2:K3"/>
    <mergeCell ref="L2:P2"/>
    <mergeCell ref="X2:X3"/>
    <mergeCell ref="C6:D15"/>
    <mergeCell ref="E6:E15"/>
    <mergeCell ref="F6:F15"/>
    <mergeCell ref="G6:G15"/>
    <mergeCell ref="H6:H15"/>
    <mergeCell ref="I6:I15"/>
    <mergeCell ref="J6:J15"/>
    <mergeCell ref="K6:K15"/>
    <mergeCell ref="C16:D23"/>
    <mergeCell ref="E16:E23"/>
    <mergeCell ref="F16:F23"/>
    <mergeCell ref="G16:G23"/>
    <mergeCell ref="H16:H23"/>
    <mergeCell ref="I16:I23"/>
    <mergeCell ref="J16:J23"/>
    <mergeCell ref="K16:K23"/>
    <mergeCell ref="C24:D25"/>
    <mergeCell ref="E24:E25"/>
    <mergeCell ref="F24:F25"/>
    <mergeCell ref="G24:G25"/>
    <mergeCell ref="H24:H25"/>
    <mergeCell ref="I24:I25"/>
    <mergeCell ref="J24:J25"/>
    <mergeCell ref="K24:K25"/>
    <mergeCell ref="C26:D28"/>
    <mergeCell ref="E26:E28"/>
    <mergeCell ref="F26:F28"/>
    <mergeCell ref="G26:G28"/>
    <mergeCell ref="H26:H28"/>
    <mergeCell ref="I26:I28"/>
    <mergeCell ref="J26:J28"/>
    <mergeCell ref="K26:K28"/>
    <mergeCell ref="C29:D33"/>
    <mergeCell ref="E29:E33"/>
    <mergeCell ref="F29:F33"/>
    <mergeCell ref="G29:G33"/>
    <mergeCell ref="H29:H33"/>
    <mergeCell ref="I29:I33"/>
    <mergeCell ref="J29:J33"/>
    <mergeCell ref="K29:K33"/>
    <mergeCell ref="C34:D41"/>
    <mergeCell ref="E34:E41"/>
    <mergeCell ref="F34:F41"/>
    <mergeCell ref="G34:G41"/>
    <mergeCell ref="H34:H41"/>
    <mergeCell ref="I34:I41"/>
    <mergeCell ref="J34:J41"/>
    <mergeCell ref="K34:K41"/>
    <mergeCell ref="C42:D48"/>
    <mergeCell ref="E42:E48"/>
    <mergeCell ref="F42:F48"/>
    <mergeCell ref="G42:G48"/>
    <mergeCell ref="H42:H48"/>
    <mergeCell ref="I42:I48"/>
    <mergeCell ref="J42:J48"/>
    <mergeCell ref="K42:K48"/>
    <mergeCell ref="C49:D58"/>
    <mergeCell ref="E49:E58"/>
    <mergeCell ref="F49:F58"/>
    <mergeCell ref="G49:G58"/>
    <mergeCell ref="H49:H58"/>
    <mergeCell ref="I49:I58"/>
    <mergeCell ref="J49:J58"/>
    <mergeCell ref="K49:K58"/>
    <mergeCell ref="C59:D66"/>
    <mergeCell ref="E59:E66"/>
    <mergeCell ref="F59:F66"/>
    <mergeCell ref="G59:G66"/>
    <mergeCell ref="H59:H66"/>
    <mergeCell ref="I59:I66"/>
    <mergeCell ref="J59:J66"/>
    <mergeCell ref="K59:K66"/>
    <mergeCell ref="C67:D70"/>
    <mergeCell ref="E67:E70"/>
    <mergeCell ref="F67:F70"/>
    <mergeCell ref="G67:G70"/>
    <mergeCell ref="H67:H70"/>
    <mergeCell ref="I67:I70"/>
    <mergeCell ref="J67:J70"/>
    <mergeCell ref="K67:K70"/>
    <mergeCell ref="I77:I82"/>
    <mergeCell ref="J77:J82"/>
    <mergeCell ref="K77:K82"/>
    <mergeCell ref="C71:D76"/>
    <mergeCell ref="E71:E76"/>
    <mergeCell ref="F71:F76"/>
    <mergeCell ref="G71:G76"/>
    <mergeCell ref="H71:H76"/>
    <mergeCell ref="I71:I76"/>
    <mergeCell ref="G83:G87"/>
    <mergeCell ref="H83:H87"/>
    <mergeCell ref="I83:I87"/>
    <mergeCell ref="J71:J76"/>
    <mergeCell ref="K71:K76"/>
    <mergeCell ref="C77:D82"/>
    <mergeCell ref="E77:E82"/>
    <mergeCell ref="F77:F82"/>
    <mergeCell ref="G77:G82"/>
    <mergeCell ref="H77:H82"/>
    <mergeCell ref="C93:O93"/>
    <mergeCell ref="C92:O92"/>
    <mergeCell ref="C91:O91"/>
    <mergeCell ref="J83:J87"/>
    <mergeCell ref="K83:K87"/>
    <mergeCell ref="C88:D88"/>
    <mergeCell ref="C89:D89"/>
    <mergeCell ref="C83:D87"/>
    <mergeCell ref="E83:E87"/>
    <mergeCell ref="F83:F87"/>
  </mergeCells>
  <conditionalFormatting sqref="H6:H87">
    <cfRule type="cellIs" priority="1" dxfId="2" operator="greaterThan">
      <formula>"&gt;0,25"</formula>
    </cfRule>
    <cfRule type="cellIs" priority="2" dxfId="1" operator="greaterThan">
      <formula>25</formula>
    </cfRule>
    <cfRule type="cellIs" priority="3" dxfId="1" operator="greaterThan">
      <formula>25</formula>
    </cfRule>
  </conditionalFormatting>
  <conditionalFormatting sqref="K6:K87">
    <cfRule type="cellIs" priority="4" dxfId="0" operator="lessThan">
      <formula>$K$89</formula>
    </cfRule>
  </conditionalFormatting>
  <printOptions/>
  <pageMargins left="0.787401575" right="0.787401575" top="0.984251969" bottom="0.984251969" header="0.5" footer="0.5"/>
  <pageSetup orientation="portrait" paperSize="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153"/>
  <sheetViews>
    <sheetView zoomScalePageLayoutView="0" workbookViewId="0" topLeftCell="A1">
      <selection activeCell="D156" sqref="D156"/>
    </sheetView>
  </sheetViews>
  <sheetFormatPr defaultColWidth="8.8515625" defaultRowHeight="12.75"/>
  <cols>
    <col min="1" max="1" width="9.28125" style="0" bestFit="1" customWidth="1"/>
    <col min="2" max="2" width="10.421875" style="0" bestFit="1" customWidth="1"/>
    <col min="3" max="3" width="14.00390625" style="1103" bestFit="1" customWidth="1"/>
    <col min="4" max="4" width="79.00390625" style="0" bestFit="1" customWidth="1"/>
    <col min="5" max="5" width="15.28125" style="0" bestFit="1" customWidth="1"/>
    <col min="6" max="6" width="109.8515625" style="0" bestFit="1" customWidth="1"/>
  </cols>
  <sheetData>
    <row r="1" spans="1:6" s="1104" customFormat="1" ht="15.75">
      <c r="A1" s="1106" t="s">
        <v>303</v>
      </c>
      <c r="B1" s="1106" t="s">
        <v>304</v>
      </c>
      <c r="C1" s="1105" t="s">
        <v>301</v>
      </c>
      <c r="D1" s="1106" t="s">
        <v>302</v>
      </c>
      <c r="E1" s="1106" t="s">
        <v>305</v>
      </c>
      <c r="F1" s="1106" t="s">
        <v>702</v>
      </c>
    </row>
    <row r="2" spans="1:6" ht="12.75">
      <c r="A2" t="s">
        <v>345</v>
      </c>
      <c r="B2" t="s">
        <v>346</v>
      </c>
      <c r="C2" s="1103" t="s">
        <v>343</v>
      </c>
      <c r="D2" t="s">
        <v>344</v>
      </c>
      <c r="E2">
        <v>2022</v>
      </c>
      <c r="F2" t="s">
        <v>18</v>
      </c>
    </row>
    <row r="3" spans="1:6" ht="12.75">
      <c r="A3" t="s">
        <v>345</v>
      </c>
      <c r="B3" t="s">
        <v>374</v>
      </c>
      <c r="C3" s="1103">
        <v>1261</v>
      </c>
      <c r="D3" t="s">
        <v>373</v>
      </c>
      <c r="E3">
        <v>2022</v>
      </c>
      <c r="F3" t="s">
        <v>355</v>
      </c>
    </row>
    <row r="4" spans="1:6" ht="12.75">
      <c r="A4" t="s">
        <v>345</v>
      </c>
      <c r="B4" t="s">
        <v>492</v>
      </c>
      <c r="C4" s="1103" t="s">
        <v>490</v>
      </c>
      <c r="D4" t="s">
        <v>491</v>
      </c>
      <c r="E4">
        <v>2022</v>
      </c>
      <c r="F4" t="s">
        <v>323</v>
      </c>
    </row>
    <row r="5" spans="1:6" ht="12.75">
      <c r="A5" t="s">
        <v>345</v>
      </c>
      <c r="B5" t="s">
        <v>492</v>
      </c>
      <c r="C5" s="1103">
        <v>1576</v>
      </c>
      <c r="D5" t="s">
        <v>493</v>
      </c>
      <c r="E5">
        <v>2022</v>
      </c>
      <c r="F5" t="s">
        <v>323</v>
      </c>
    </row>
    <row r="6" spans="1:6" ht="12.75">
      <c r="A6" t="s">
        <v>345</v>
      </c>
      <c r="B6" t="s">
        <v>512</v>
      </c>
      <c r="C6" s="1103" t="s">
        <v>510</v>
      </c>
      <c r="D6" t="s">
        <v>511</v>
      </c>
      <c r="E6">
        <v>2022</v>
      </c>
      <c r="F6" t="s">
        <v>507</v>
      </c>
    </row>
    <row r="7" spans="1:6" ht="12.75">
      <c r="A7" t="s">
        <v>345</v>
      </c>
      <c r="B7" t="s">
        <v>514</v>
      </c>
      <c r="C7" s="1103">
        <v>1667</v>
      </c>
      <c r="D7" t="s">
        <v>513</v>
      </c>
      <c r="E7">
        <v>2022</v>
      </c>
      <c r="F7" t="s">
        <v>507</v>
      </c>
    </row>
    <row r="8" spans="1:6" ht="12.75">
      <c r="A8" t="s">
        <v>345</v>
      </c>
      <c r="B8" t="s">
        <v>531</v>
      </c>
      <c r="C8" s="1103" t="s">
        <v>529</v>
      </c>
      <c r="D8" t="s">
        <v>530</v>
      </c>
      <c r="E8">
        <v>2022</v>
      </c>
      <c r="F8" t="s">
        <v>310</v>
      </c>
    </row>
    <row r="9" spans="1:6" ht="12.75">
      <c r="A9" t="s">
        <v>345</v>
      </c>
      <c r="B9" t="s">
        <v>534</v>
      </c>
      <c r="C9" s="1103" t="s">
        <v>532</v>
      </c>
      <c r="D9" t="s">
        <v>533</v>
      </c>
      <c r="E9">
        <v>2022</v>
      </c>
      <c r="F9" t="s">
        <v>310</v>
      </c>
    </row>
    <row r="10" spans="1:6" ht="12.75">
      <c r="A10" t="s">
        <v>345</v>
      </c>
      <c r="B10" t="s">
        <v>512</v>
      </c>
      <c r="C10" s="1103" t="s">
        <v>556</v>
      </c>
      <c r="D10" t="s">
        <v>557</v>
      </c>
      <c r="E10">
        <v>2022</v>
      </c>
      <c r="F10" t="s">
        <v>310</v>
      </c>
    </row>
    <row r="11" spans="1:6" ht="12.75">
      <c r="A11" t="s">
        <v>345</v>
      </c>
      <c r="B11" t="s">
        <v>346</v>
      </c>
      <c r="C11" s="1103">
        <v>1650</v>
      </c>
      <c r="D11" t="s">
        <v>578</v>
      </c>
      <c r="E11">
        <v>2022</v>
      </c>
      <c r="F11" t="s">
        <v>571</v>
      </c>
    </row>
    <row r="12" spans="1:6" ht="12.75">
      <c r="A12" t="s">
        <v>345</v>
      </c>
      <c r="B12" t="s">
        <v>514</v>
      </c>
      <c r="C12" s="1103" t="s">
        <v>592</v>
      </c>
      <c r="D12" t="s">
        <v>593</v>
      </c>
      <c r="E12">
        <v>2022</v>
      </c>
      <c r="F12" t="s">
        <v>594</v>
      </c>
    </row>
    <row r="13" spans="1:6" ht="12.75">
      <c r="A13" t="s">
        <v>345</v>
      </c>
      <c r="B13" t="s">
        <v>346</v>
      </c>
      <c r="C13" s="1103" t="s">
        <v>597</v>
      </c>
      <c r="D13" t="s">
        <v>598</v>
      </c>
      <c r="E13">
        <v>2022</v>
      </c>
      <c r="F13" t="s">
        <v>594</v>
      </c>
    </row>
    <row r="14" spans="1:6" ht="12.75">
      <c r="A14" t="s">
        <v>345</v>
      </c>
      <c r="B14" t="s">
        <v>346</v>
      </c>
      <c r="C14" s="1103" t="s">
        <v>623</v>
      </c>
      <c r="D14" t="s">
        <v>624</v>
      </c>
      <c r="E14">
        <v>2022</v>
      </c>
      <c r="F14" t="s">
        <v>18</v>
      </c>
    </row>
    <row r="15" spans="1:6" ht="12.75">
      <c r="A15" t="s">
        <v>345</v>
      </c>
      <c r="B15" t="s">
        <v>374</v>
      </c>
      <c r="C15" s="1103" t="s">
        <v>625</v>
      </c>
      <c r="D15" t="s">
        <v>626</v>
      </c>
      <c r="E15">
        <v>2022</v>
      </c>
      <c r="F15" t="s">
        <v>18</v>
      </c>
    </row>
    <row r="16" spans="1:6" ht="12.75">
      <c r="A16" t="s">
        <v>345</v>
      </c>
      <c r="B16" t="s">
        <v>534</v>
      </c>
      <c r="C16" s="1103" t="s">
        <v>635</v>
      </c>
      <c r="D16" t="s">
        <v>636</v>
      </c>
      <c r="E16">
        <v>2022</v>
      </c>
      <c r="F16" t="s">
        <v>18</v>
      </c>
    </row>
    <row r="17" spans="1:6" ht="12.75">
      <c r="A17" t="s">
        <v>345</v>
      </c>
      <c r="B17" t="s">
        <v>643</v>
      </c>
      <c r="C17" s="1103" t="s">
        <v>641</v>
      </c>
      <c r="D17" t="s">
        <v>642</v>
      </c>
      <c r="E17">
        <v>2022</v>
      </c>
      <c r="F17" t="s">
        <v>18</v>
      </c>
    </row>
    <row r="18" spans="1:6" ht="12.75">
      <c r="A18" t="s">
        <v>345</v>
      </c>
      <c r="B18" t="s">
        <v>512</v>
      </c>
      <c r="C18" s="1103">
        <v>1670</v>
      </c>
      <c r="D18" t="s">
        <v>649</v>
      </c>
      <c r="E18">
        <v>2022</v>
      </c>
      <c r="F18" t="s">
        <v>18</v>
      </c>
    </row>
    <row r="19" spans="1:6" ht="12.75">
      <c r="A19" t="s">
        <v>345</v>
      </c>
      <c r="B19" t="s">
        <v>346</v>
      </c>
      <c r="C19" s="1103" t="s">
        <v>688</v>
      </c>
      <c r="D19" t="s">
        <v>689</v>
      </c>
      <c r="E19">
        <v>2022</v>
      </c>
      <c r="F19" t="s">
        <v>665</v>
      </c>
    </row>
    <row r="20" spans="1:6" ht="12.75">
      <c r="A20" t="s">
        <v>345</v>
      </c>
      <c r="B20" t="s">
        <v>512</v>
      </c>
      <c r="C20" s="1103" t="s">
        <v>690</v>
      </c>
      <c r="D20" t="s">
        <v>691</v>
      </c>
      <c r="E20">
        <v>2022</v>
      </c>
      <c r="F20" t="s">
        <v>665</v>
      </c>
    </row>
    <row r="21" spans="1:6" ht="12.75">
      <c r="A21" t="s">
        <v>345</v>
      </c>
      <c r="B21" t="s">
        <v>492</v>
      </c>
      <c r="C21" s="1103">
        <v>1576</v>
      </c>
      <c r="D21" t="s">
        <v>493</v>
      </c>
      <c r="E21">
        <v>2022</v>
      </c>
      <c r="F21" t="s">
        <v>323</v>
      </c>
    </row>
    <row r="22" spans="1:6" ht="12.75">
      <c r="A22" t="s">
        <v>391</v>
      </c>
      <c r="B22" t="s">
        <v>392</v>
      </c>
      <c r="C22" s="1103" t="s">
        <v>389</v>
      </c>
      <c r="D22" t="s">
        <v>390</v>
      </c>
      <c r="E22">
        <v>2022</v>
      </c>
      <c r="F22" t="s">
        <v>383</v>
      </c>
    </row>
    <row r="23" spans="1:6" ht="12.75">
      <c r="A23" t="s">
        <v>391</v>
      </c>
      <c r="B23" t="s">
        <v>581</v>
      </c>
      <c r="C23" s="1103" t="s">
        <v>579</v>
      </c>
      <c r="D23" t="s">
        <v>580</v>
      </c>
      <c r="E23">
        <v>2022</v>
      </c>
      <c r="F23" t="s">
        <v>582</v>
      </c>
    </row>
    <row r="24" spans="1:6" ht="12.75">
      <c r="A24" t="s">
        <v>391</v>
      </c>
      <c r="B24" t="s">
        <v>589</v>
      </c>
      <c r="C24" s="1103" t="s">
        <v>587</v>
      </c>
      <c r="D24" t="s">
        <v>588</v>
      </c>
      <c r="E24">
        <v>2022</v>
      </c>
      <c r="F24" t="s">
        <v>351</v>
      </c>
    </row>
    <row r="25" spans="1:6" ht="12.75">
      <c r="A25" t="s">
        <v>391</v>
      </c>
      <c r="B25" t="s">
        <v>614</v>
      </c>
      <c r="C25" s="1103" t="s">
        <v>612</v>
      </c>
      <c r="D25" t="s">
        <v>613</v>
      </c>
      <c r="E25">
        <v>2022</v>
      </c>
      <c r="F25" t="s">
        <v>320</v>
      </c>
    </row>
    <row r="26" spans="1:6" ht="12.75">
      <c r="A26" t="s">
        <v>391</v>
      </c>
      <c r="B26" t="s">
        <v>614</v>
      </c>
      <c r="C26" s="1103" t="s">
        <v>653</v>
      </c>
      <c r="D26" t="s">
        <v>654</v>
      </c>
      <c r="E26">
        <v>2022</v>
      </c>
      <c r="F26" t="s">
        <v>652</v>
      </c>
    </row>
    <row r="27" spans="1:6" ht="12.75">
      <c r="A27" t="s">
        <v>391</v>
      </c>
      <c r="B27" t="s">
        <v>670</v>
      </c>
      <c r="C27" s="1103" t="s">
        <v>668</v>
      </c>
      <c r="D27" t="s">
        <v>669</v>
      </c>
      <c r="E27">
        <v>2022</v>
      </c>
      <c r="F27" t="s">
        <v>665</v>
      </c>
    </row>
    <row r="28" spans="1:6" ht="12.75">
      <c r="A28" t="s">
        <v>391</v>
      </c>
      <c r="B28" t="s">
        <v>392</v>
      </c>
      <c r="C28" s="1103" t="s">
        <v>675</v>
      </c>
      <c r="D28" t="s">
        <v>676</v>
      </c>
      <c r="E28">
        <v>2022</v>
      </c>
      <c r="F28" t="s">
        <v>665</v>
      </c>
    </row>
    <row r="29" spans="1:6" ht="12.75">
      <c r="A29" t="s">
        <v>391</v>
      </c>
      <c r="B29" t="s">
        <v>392</v>
      </c>
      <c r="C29" s="1103" t="s">
        <v>686</v>
      </c>
      <c r="D29" t="s">
        <v>687</v>
      </c>
      <c r="E29">
        <v>2022</v>
      </c>
      <c r="F29" t="s">
        <v>665</v>
      </c>
    </row>
    <row r="30" spans="1:6" ht="12.75">
      <c r="A30" t="s">
        <v>364</v>
      </c>
      <c r="B30" t="s">
        <v>365</v>
      </c>
      <c r="C30" s="1103" t="s">
        <v>362</v>
      </c>
      <c r="D30" t="s">
        <v>363</v>
      </c>
      <c r="E30">
        <v>2022</v>
      </c>
      <c r="F30" t="s">
        <v>355</v>
      </c>
    </row>
    <row r="31" spans="1:6" ht="12.75">
      <c r="A31" t="s">
        <v>364</v>
      </c>
      <c r="B31" t="s">
        <v>482</v>
      </c>
      <c r="C31" s="1103" t="s">
        <v>480</v>
      </c>
      <c r="D31" t="s">
        <v>481</v>
      </c>
      <c r="E31">
        <v>2022</v>
      </c>
      <c r="F31" t="s">
        <v>466</v>
      </c>
    </row>
    <row r="32" spans="1:6" ht="12.75">
      <c r="A32" t="s">
        <v>364</v>
      </c>
      <c r="B32" t="s">
        <v>482</v>
      </c>
      <c r="C32" s="1103" t="s">
        <v>564</v>
      </c>
      <c r="D32" t="s">
        <v>565</v>
      </c>
      <c r="E32">
        <v>2022</v>
      </c>
      <c r="F32" t="s">
        <v>566</v>
      </c>
    </row>
    <row r="33" spans="1:6" ht="12.75">
      <c r="A33" t="s">
        <v>364</v>
      </c>
      <c r="B33" t="s">
        <v>365</v>
      </c>
      <c r="C33" s="1103" t="s">
        <v>657</v>
      </c>
      <c r="D33" t="s">
        <v>658</v>
      </c>
      <c r="E33">
        <v>2022</v>
      </c>
      <c r="F33" t="s">
        <v>652</v>
      </c>
    </row>
    <row r="34" spans="1:6" ht="12.75">
      <c r="A34" t="s">
        <v>364</v>
      </c>
      <c r="B34" t="s">
        <v>685</v>
      </c>
      <c r="C34" s="1103" t="s">
        <v>683</v>
      </c>
      <c r="D34" t="s">
        <v>684</v>
      </c>
      <c r="E34">
        <v>2022</v>
      </c>
      <c r="F34" t="s">
        <v>665</v>
      </c>
    </row>
    <row r="35" spans="1:6" ht="12.75">
      <c r="A35" t="s">
        <v>422</v>
      </c>
      <c r="B35" t="s">
        <v>423</v>
      </c>
      <c r="C35" s="1103" t="s">
        <v>420</v>
      </c>
      <c r="D35" t="s">
        <v>421</v>
      </c>
      <c r="E35">
        <v>2022</v>
      </c>
      <c r="F35" t="s">
        <v>424</v>
      </c>
    </row>
    <row r="36" spans="1:6" ht="12.75">
      <c r="A36" t="s">
        <v>422</v>
      </c>
      <c r="B36" t="s">
        <v>423</v>
      </c>
      <c r="C36" s="1103" t="s">
        <v>464</v>
      </c>
      <c r="D36" t="s">
        <v>465</v>
      </c>
      <c r="E36">
        <v>2022</v>
      </c>
      <c r="F36" t="s">
        <v>466</v>
      </c>
    </row>
    <row r="37" spans="1:6" ht="12.75">
      <c r="A37" t="s">
        <v>326</v>
      </c>
      <c r="B37" t="s">
        <v>327</v>
      </c>
      <c r="C37" s="1103" t="s">
        <v>324</v>
      </c>
      <c r="D37" t="s">
        <v>325</v>
      </c>
      <c r="E37">
        <v>2022</v>
      </c>
      <c r="F37" t="s">
        <v>328</v>
      </c>
    </row>
    <row r="38" spans="1:6" ht="12.75">
      <c r="A38" t="s">
        <v>326</v>
      </c>
      <c r="B38" t="s">
        <v>358</v>
      </c>
      <c r="C38" s="1103" t="s">
        <v>356</v>
      </c>
      <c r="D38" t="s">
        <v>357</v>
      </c>
      <c r="E38">
        <v>2022</v>
      </c>
      <c r="F38" t="s">
        <v>355</v>
      </c>
    </row>
    <row r="39" spans="1:6" ht="12.75">
      <c r="A39" t="s">
        <v>326</v>
      </c>
      <c r="B39" t="s">
        <v>427</v>
      </c>
      <c r="C39" s="1103" t="s">
        <v>425</v>
      </c>
      <c r="D39" t="s">
        <v>426</v>
      </c>
      <c r="E39">
        <v>2022</v>
      </c>
      <c r="F39" t="s">
        <v>407</v>
      </c>
    </row>
    <row r="40" spans="1:6" ht="12.75">
      <c r="A40" t="s">
        <v>326</v>
      </c>
      <c r="B40" t="s">
        <v>489</v>
      </c>
      <c r="C40" s="1103" t="s">
        <v>487</v>
      </c>
      <c r="D40" t="s">
        <v>488</v>
      </c>
      <c r="E40">
        <v>2022</v>
      </c>
      <c r="F40" t="s">
        <v>323</v>
      </c>
    </row>
    <row r="41" spans="1:6" ht="12.75">
      <c r="A41" t="s">
        <v>326</v>
      </c>
      <c r="B41" t="s">
        <v>427</v>
      </c>
      <c r="C41" s="1103" t="s">
        <v>554</v>
      </c>
      <c r="D41" t="s">
        <v>555</v>
      </c>
      <c r="E41">
        <v>2022</v>
      </c>
      <c r="F41" t="s">
        <v>310</v>
      </c>
    </row>
    <row r="42" spans="1:6" ht="12.75">
      <c r="A42" t="s">
        <v>326</v>
      </c>
      <c r="B42" t="s">
        <v>358</v>
      </c>
      <c r="C42" s="1103" t="s">
        <v>599</v>
      </c>
      <c r="D42" t="s">
        <v>600</v>
      </c>
      <c r="E42">
        <v>2022</v>
      </c>
      <c r="F42" t="s">
        <v>601</v>
      </c>
    </row>
    <row r="43" spans="1:6" ht="12.75">
      <c r="A43" t="s">
        <v>326</v>
      </c>
      <c r="B43" t="s">
        <v>358</v>
      </c>
      <c r="C43" s="1103" t="s">
        <v>644</v>
      </c>
      <c r="D43" t="s">
        <v>645</v>
      </c>
      <c r="E43">
        <v>2022</v>
      </c>
      <c r="F43" t="s">
        <v>18</v>
      </c>
    </row>
    <row r="44" spans="1:6" ht="12.75">
      <c r="A44" t="s">
        <v>326</v>
      </c>
      <c r="B44" t="s">
        <v>489</v>
      </c>
      <c r="C44" s="1103" t="s">
        <v>673</v>
      </c>
      <c r="D44" t="s">
        <v>674</v>
      </c>
      <c r="E44">
        <v>2022</v>
      </c>
      <c r="F44" t="s">
        <v>665</v>
      </c>
    </row>
    <row r="45" spans="1:6" ht="12.75">
      <c r="A45" t="s">
        <v>377</v>
      </c>
      <c r="B45" t="s">
        <v>378</v>
      </c>
      <c r="C45" s="1103" t="s">
        <v>375</v>
      </c>
      <c r="D45" t="s">
        <v>376</v>
      </c>
      <c r="E45">
        <v>2022</v>
      </c>
      <c r="F45" t="s">
        <v>379</v>
      </c>
    </row>
    <row r="46" spans="1:6" ht="12.75">
      <c r="A46" t="s">
        <v>377</v>
      </c>
      <c r="B46" t="s">
        <v>386</v>
      </c>
      <c r="C46" s="1103" t="s">
        <v>384</v>
      </c>
      <c r="D46" t="s">
        <v>385</v>
      </c>
      <c r="E46">
        <v>2022</v>
      </c>
      <c r="F46" t="s">
        <v>383</v>
      </c>
    </row>
    <row r="47" spans="1:6" ht="12.75">
      <c r="A47" t="s">
        <v>377</v>
      </c>
      <c r="B47" t="s">
        <v>410</v>
      </c>
      <c r="C47" s="1103" t="s">
        <v>408</v>
      </c>
      <c r="D47" t="s">
        <v>409</v>
      </c>
      <c r="E47">
        <v>2022</v>
      </c>
      <c r="F47" t="s">
        <v>407</v>
      </c>
    </row>
    <row r="48" spans="1:6" ht="12.75">
      <c r="A48" t="s">
        <v>377</v>
      </c>
      <c r="B48" t="s">
        <v>441</v>
      </c>
      <c r="C48" s="1103" t="s">
        <v>439</v>
      </c>
      <c r="D48" t="s">
        <v>440</v>
      </c>
      <c r="E48">
        <v>2022</v>
      </c>
      <c r="F48" t="s">
        <v>442</v>
      </c>
    </row>
    <row r="49" spans="1:6" ht="12.75">
      <c r="A49" t="s">
        <v>377</v>
      </c>
      <c r="B49" t="s">
        <v>410</v>
      </c>
      <c r="C49" s="1103" t="s">
        <v>443</v>
      </c>
      <c r="D49" t="s">
        <v>444</v>
      </c>
      <c r="E49">
        <v>2022</v>
      </c>
      <c r="F49" t="s">
        <v>442</v>
      </c>
    </row>
    <row r="50" spans="1:6" ht="12.75">
      <c r="A50" t="s">
        <v>377</v>
      </c>
      <c r="B50" t="s">
        <v>410</v>
      </c>
      <c r="C50" s="1103" t="s">
        <v>445</v>
      </c>
      <c r="D50" t="s">
        <v>446</v>
      </c>
      <c r="E50">
        <v>2022</v>
      </c>
      <c r="F50" t="s">
        <v>442</v>
      </c>
    </row>
    <row r="51" spans="1:6" ht="12.75">
      <c r="A51" t="s">
        <v>377</v>
      </c>
      <c r="B51" t="s">
        <v>449</v>
      </c>
      <c r="C51" s="1103" t="s">
        <v>447</v>
      </c>
      <c r="D51" t="s">
        <v>448</v>
      </c>
      <c r="E51">
        <v>2022</v>
      </c>
      <c r="F51" t="s">
        <v>442</v>
      </c>
    </row>
    <row r="52" spans="1:6" ht="12.75">
      <c r="A52" t="s">
        <v>377</v>
      </c>
      <c r="B52" t="s">
        <v>452</v>
      </c>
      <c r="C52" s="1103" t="s">
        <v>450</v>
      </c>
      <c r="D52" t="s">
        <v>451</v>
      </c>
      <c r="E52">
        <v>2022</v>
      </c>
      <c r="F52" t="s">
        <v>442</v>
      </c>
    </row>
    <row r="53" spans="1:6" ht="12.75">
      <c r="A53" t="s">
        <v>377</v>
      </c>
      <c r="B53" t="s">
        <v>449</v>
      </c>
      <c r="C53" s="1103" t="s">
        <v>453</v>
      </c>
      <c r="D53" t="s">
        <v>454</v>
      </c>
      <c r="E53">
        <v>2022</v>
      </c>
      <c r="F53" t="s">
        <v>442</v>
      </c>
    </row>
    <row r="54" spans="1:6" ht="12.75">
      <c r="A54" t="s">
        <v>377</v>
      </c>
      <c r="B54" t="s">
        <v>441</v>
      </c>
      <c r="C54" s="1103" t="s">
        <v>457</v>
      </c>
      <c r="D54" t="s">
        <v>458</v>
      </c>
      <c r="E54">
        <v>2022</v>
      </c>
      <c r="F54" t="s">
        <v>442</v>
      </c>
    </row>
    <row r="55" spans="1:6" ht="12.75">
      <c r="A55" t="s">
        <v>377</v>
      </c>
      <c r="B55" t="s">
        <v>378</v>
      </c>
      <c r="C55" s="1103" t="s">
        <v>459</v>
      </c>
      <c r="D55" t="s">
        <v>460</v>
      </c>
      <c r="E55">
        <v>2022</v>
      </c>
      <c r="F55" t="s">
        <v>442</v>
      </c>
    </row>
    <row r="56" spans="1:6" ht="12.75">
      <c r="A56" t="s">
        <v>377</v>
      </c>
      <c r="B56" t="s">
        <v>441</v>
      </c>
      <c r="C56" s="1103">
        <v>1589</v>
      </c>
      <c r="D56" t="s">
        <v>461</v>
      </c>
      <c r="E56">
        <v>2022</v>
      </c>
      <c r="F56" t="s">
        <v>442</v>
      </c>
    </row>
    <row r="57" spans="1:6" ht="12.75">
      <c r="A57" t="s">
        <v>377</v>
      </c>
      <c r="B57" t="s">
        <v>449</v>
      </c>
      <c r="C57" s="1103" t="s">
        <v>523</v>
      </c>
      <c r="D57" t="s">
        <v>524</v>
      </c>
      <c r="E57">
        <v>2022</v>
      </c>
      <c r="F57" t="s">
        <v>310</v>
      </c>
    </row>
    <row r="58" spans="1:6" ht="12.75">
      <c r="A58" t="s">
        <v>377</v>
      </c>
      <c r="B58" t="s">
        <v>544</v>
      </c>
      <c r="C58" s="1103" t="s">
        <v>542</v>
      </c>
      <c r="D58" t="s">
        <v>543</v>
      </c>
      <c r="E58">
        <v>2022</v>
      </c>
      <c r="F58" t="s">
        <v>310</v>
      </c>
    </row>
    <row r="59" spans="1:6" ht="12.75">
      <c r="A59" t="s">
        <v>377</v>
      </c>
      <c r="B59" t="s">
        <v>551</v>
      </c>
      <c r="C59" s="1103" t="s">
        <v>549</v>
      </c>
      <c r="D59" t="s">
        <v>550</v>
      </c>
      <c r="E59">
        <v>2022</v>
      </c>
      <c r="F59" t="s">
        <v>310</v>
      </c>
    </row>
    <row r="60" spans="1:6" ht="12.75">
      <c r="A60" t="s">
        <v>377</v>
      </c>
      <c r="B60" t="s">
        <v>386</v>
      </c>
      <c r="C60" s="1103">
        <v>1712</v>
      </c>
      <c r="D60" t="s">
        <v>563</v>
      </c>
      <c r="E60">
        <v>2022</v>
      </c>
      <c r="F60" t="s">
        <v>310</v>
      </c>
    </row>
    <row r="61" spans="1:6" ht="12.75">
      <c r="A61" t="s">
        <v>377</v>
      </c>
      <c r="B61" t="s">
        <v>378</v>
      </c>
      <c r="C61" s="1103" t="s">
        <v>595</v>
      </c>
      <c r="D61" t="s">
        <v>596</v>
      </c>
      <c r="E61">
        <v>2022</v>
      </c>
      <c r="F61" t="s">
        <v>594</v>
      </c>
    </row>
    <row r="62" spans="1:6" ht="12.75">
      <c r="A62" t="s">
        <v>377</v>
      </c>
      <c r="B62" t="s">
        <v>694</v>
      </c>
      <c r="C62" s="1103" t="s">
        <v>692</v>
      </c>
      <c r="D62" t="s">
        <v>693</v>
      </c>
      <c r="E62">
        <v>2022</v>
      </c>
      <c r="F62" t="s">
        <v>695</v>
      </c>
    </row>
    <row r="63" spans="1:6" ht="12.75">
      <c r="A63" t="s">
        <v>313</v>
      </c>
      <c r="B63" t="s">
        <v>314</v>
      </c>
      <c r="C63" s="1103" t="s">
        <v>311</v>
      </c>
      <c r="D63" t="s">
        <v>312</v>
      </c>
      <c r="E63">
        <v>2022</v>
      </c>
      <c r="F63" t="s">
        <v>315</v>
      </c>
    </row>
    <row r="64" spans="1:6" ht="12.75">
      <c r="A64" t="s">
        <v>313</v>
      </c>
      <c r="B64" t="s">
        <v>336</v>
      </c>
      <c r="C64" s="1103" t="s">
        <v>334</v>
      </c>
      <c r="D64" t="s">
        <v>335</v>
      </c>
      <c r="E64">
        <v>2022</v>
      </c>
      <c r="F64" t="s">
        <v>323</v>
      </c>
    </row>
    <row r="65" spans="1:6" ht="12.75">
      <c r="A65" t="s">
        <v>313</v>
      </c>
      <c r="B65" t="s">
        <v>336</v>
      </c>
      <c r="C65" s="1103" t="s">
        <v>455</v>
      </c>
      <c r="D65" t="s">
        <v>456</v>
      </c>
      <c r="E65">
        <v>2022</v>
      </c>
      <c r="F65" t="s">
        <v>442</v>
      </c>
    </row>
    <row r="66" spans="1:6" ht="12.75">
      <c r="A66" t="s">
        <v>313</v>
      </c>
      <c r="B66" t="s">
        <v>502</v>
      </c>
      <c r="C66" s="1103">
        <v>1715</v>
      </c>
      <c r="D66" t="s">
        <v>501</v>
      </c>
      <c r="E66">
        <v>2022</v>
      </c>
      <c r="F66" t="s">
        <v>503</v>
      </c>
    </row>
    <row r="67" spans="1:6" ht="12.75">
      <c r="A67" t="s">
        <v>313</v>
      </c>
      <c r="B67" t="s">
        <v>336</v>
      </c>
      <c r="C67" s="1103">
        <v>1680</v>
      </c>
      <c r="D67" t="s">
        <v>562</v>
      </c>
      <c r="E67">
        <v>2022</v>
      </c>
      <c r="F67" t="s">
        <v>310</v>
      </c>
    </row>
    <row r="68" spans="1:6" ht="12.75">
      <c r="A68" t="s">
        <v>313</v>
      </c>
      <c r="B68" t="s">
        <v>611</v>
      </c>
      <c r="C68" s="1103" t="s">
        <v>609</v>
      </c>
      <c r="D68" t="s">
        <v>610</v>
      </c>
      <c r="E68">
        <v>2022</v>
      </c>
      <c r="F68" t="s">
        <v>19</v>
      </c>
    </row>
    <row r="69" spans="1:6" ht="12.75">
      <c r="A69" t="s">
        <v>313</v>
      </c>
      <c r="B69" t="s">
        <v>617</v>
      </c>
      <c r="C69" s="1103" t="s">
        <v>615</v>
      </c>
      <c r="D69" t="s">
        <v>616</v>
      </c>
      <c r="E69">
        <v>2022</v>
      </c>
      <c r="F69" t="s">
        <v>320</v>
      </c>
    </row>
    <row r="70" spans="1:6" ht="12.75">
      <c r="A70" t="s">
        <v>313</v>
      </c>
      <c r="B70" t="s">
        <v>336</v>
      </c>
      <c r="C70" s="1103" t="s">
        <v>631</v>
      </c>
      <c r="D70" t="s">
        <v>632</v>
      </c>
      <c r="E70">
        <v>2022</v>
      </c>
      <c r="F70" t="s">
        <v>18</v>
      </c>
    </row>
    <row r="71" spans="1:6" ht="12.75">
      <c r="A71" t="s">
        <v>313</v>
      </c>
      <c r="B71" t="s">
        <v>314</v>
      </c>
      <c r="C71" s="1103" t="s">
        <v>633</v>
      </c>
      <c r="D71" t="s">
        <v>634</v>
      </c>
      <c r="E71">
        <v>2022</v>
      </c>
      <c r="F71" t="s">
        <v>18</v>
      </c>
    </row>
    <row r="72" spans="1:6" ht="12.75">
      <c r="A72" t="s">
        <v>313</v>
      </c>
      <c r="B72" t="s">
        <v>502</v>
      </c>
      <c r="C72" s="1103" t="s">
        <v>639</v>
      </c>
      <c r="D72" t="s">
        <v>640</v>
      </c>
      <c r="E72">
        <v>2022</v>
      </c>
      <c r="F72" t="s">
        <v>18</v>
      </c>
    </row>
    <row r="73" spans="1:6" ht="12.75">
      <c r="A73" t="s">
        <v>313</v>
      </c>
      <c r="B73" t="s">
        <v>314</v>
      </c>
      <c r="C73" s="1103">
        <v>1642</v>
      </c>
      <c r="D73" t="s">
        <v>659</v>
      </c>
      <c r="E73">
        <v>2022</v>
      </c>
      <c r="F73" t="s">
        <v>652</v>
      </c>
    </row>
    <row r="74" spans="1:6" ht="12.75">
      <c r="A74" t="s">
        <v>313</v>
      </c>
      <c r="B74" t="s">
        <v>336</v>
      </c>
      <c r="C74" s="1103" t="s">
        <v>671</v>
      </c>
      <c r="D74" t="s">
        <v>672</v>
      </c>
      <c r="E74">
        <v>2022</v>
      </c>
      <c r="F74" t="s">
        <v>665</v>
      </c>
    </row>
    <row r="75" spans="1:6" ht="12.75">
      <c r="A75" t="s">
        <v>313</v>
      </c>
      <c r="B75" t="s">
        <v>314</v>
      </c>
      <c r="C75" s="1103" t="s">
        <v>698</v>
      </c>
      <c r="D75" t="s">
        <v>699</v>
      </c>
      <c r="E75">
        <v>2022</v>
      </c>
      <c r="F75" t="s">
        <v>665</v>
      </c>
    </row>
    <row r="76" spans="1:6" ht="12.75">
      <c r="A76" t="s">
        <v>313</v>
      </c>
      <c r="B76" t="s">
        <v>611</v>
      </c>
      <c r="C76" s="1103" t="s">
        <v>700</v>
      </c>
      <c r="D76" t="s">
        <v>701</v>
      </c>
      <c r="E76">
        <v>2022</v>
      </c>
      <c r="F76" t="s">
        <v>594</v>
      </c>
    </row>
    <row r="77" spans="1:6" ht="12.75">
      <c r="A77" t="s">
        <v>318</v>
      </c>
      <c r="B77" t="s">
        <v>319</v>
      </c>
      <c r="C77" s="1103" t="s">
        <v>316</v>
      </c>
      <c r="D77" t="s">
        <v>317</v>
      </c>
      <c r="E77">
        <v>2022</v>
      </c>
      <c r="F77" t="s">
        <v>320</v>
      </c>
    </row>
    <row r="78" spans="1:6" ht="12.75">
      <c r="A78" t="s">
        <v>318</v>
      </c>
      <c r="B78" t="s">
        <v>319</v>
      </c>
      <c r="C78" s="1103" t="s">
        <v>321</v>
      </c>
      <c r="D78" t="s">
        <v>322</v>
      </c>
      <c r="E78">
        <v>2022</v>
      </c>
      <c r="F78" t="s">
        <v>323</v>
      </c>
    </row>
    <row r="79" spans="1:6" ht="12.75">
      <c r="A79" t="s">
        <v>318</v>
      </c>
      <c r="B79" t="s">
        <v>372</v>
      </c>
      <c r="C79" s="1103" t="s">
        <v>370</v>
      </c>
      <c r="D79" t="s">
        <v>371</v>
      </c>
      <c r="E79">
        <v>2022</v>
      </c>
      <c r="F79" t="s">
        <v>355</v>
      </c>
    </row>
    <row r="80" spans="1:6" ht="12.75">
      <c r="A80" t="s">
        <v>318</v>
      </c>
      <c r="B80" t="s">
        <v>438</v>
      </c>
      <c r="C80" s="1103" t="s">
        <v>436</v>
      </c>
      <c r="D80" t="s">
        <v>437</v>
      </c>
      <c r="E80">
        <v>2022</v>
      </c>
      <c r="F80" t="s">
        <v>431</v>
      </c>
    </row>
    <row r="81" spans="1:6" ht="12.75">
      <c r="A81" t="s">
        <v>318</v>
      </c>
      <c r="B81" t="s">
        <v>519</v>
      </c>
      <c r="C81" s="1103" t="s">
        <v>517</v>
      </c>
      <c r="D81" t="s">
        <v>518</v>
      </c>
      <c r="E81">
        <v>2022</v>
      </c>
      <c r="F81" t="s">
        <v>310</v>
      </c>
    </row>
    <row r="82" spans="1:6" ht="12.75">
      <c r="A82" t="s">
        <v>318</v>
      </c>
      <c r="B82" t="s">
        <v>319</v>
      </c>
      <c r="C82" s="1103" t="s">
        <v>537</v>
      </c>
      <c r="D82" t="s">
        <v>538</v>
      </c>
      <c r="E82">
        <v>2022</v>
      </c>
      <c r="F82" t="s">
        <v>310</v>
      </c>
    </row>
    <row r="83" spans="1:6" ht="12.75">
      <c r="A83" t="s">
        <v>318</v>
      </c>
      <c r="B83" t="s">
        <v>438</v>
      </c>
      <c r="C83" s="1103" t="s">
        <v>569</v>
      </c>
      <c r="D83" t="s">
        <v>570</v>
      </c>
      <c r="E83">
        <v>2022</v>
      </c>
      <c r="F83" t="s">
        <v>571</v>
      </c>
    </row>
    <row r="84" spans="1:6" ht="12.75">
      <c r="A84" t="s">
        <v>318</v>
      </c>
      <c r="B84" t="s">
        <v>519</v>
      </c>
      <c r="C84" s="1103" t="s">
        <v>572</v>
      </c>
      <c r="D84" t="s">
        <v>573</v>
      </c>
      <c r="E84">
        <v>2022</v>
      </c>
      <c r="F84" t="s">
        <v>571</v>
      </c>
    </row>
    <row r="85" spans="1:6" ht="12.75">
      <c r="A85" t="s">
        <v>318</v>
      </c>
      <c r="B85" t="s">
        <v>519</v>
      </c>
      <c r="C85" s="1103" t="s">
        <v>574</v>
      </c>
      <c r="D85" t="s">
        <v>575</v>
      </c>
      <c r="E85">
        <v>2022</v>
      </c>
      <c r="F85" t="s">
        <v>571</v>
      </c>
    </row>
    <row r="86" spans="1:6" ht="12.75">
      <c r="A86" t="s">
        <v>318</v>
      </c>
      <c r="B86" t="s">
        <v>372</v>
      </c>
      <c r="C86" s="1103" t="s">
        <v>583</v>
      </c>
      <c r="D86" t="s">
        <v>584</v>
      </c>
      <c r="E86">
        <v>2022</v>
      </c>
      <c r="F86" t="s">
        <v>582</v>
      </c>
    </row>
    <row r="87" spans="1:6" ht="12.75">
      <c r="A87" t="s">
        <v>318</v>
      </c>
      <c r="B87" t="s">
        <v>519</v>
      </c>
      <c r="C87" s="1103" t="s">
        <v>629</v>
      </c>
      <c r="D87" t="s">
        <v>630</v>
      </c>
      <c r="E87">
        <v>2022</v>
      </c>
      <c r="F87" t="s">
        <v>18</v>
      </c>
    </row>
    <row r="88" spans="1:6" ht="12.75">
      <c r="A88" t="s">
        <v>318</v>
      </c>
      <c r="B88" t="s">
        <v>664</v>
      </c>
      <c r="C88" s="1103" t="s">
        <v>662</v>
      </c>
      <c r="D88" t="s">
        <v>663</v>
      </c>
      <c r="E88">
        <v>2022</v>
      </c>
      <c r="F88" t="s">
        <v>665</v>
      </c>
    </row>
    <row r="89" spans="1:6" ht="12.75">
      <c r="A89" t="s">
        <v>318</v>
      </c>
      <c r="B89" t="s">
        <v>372</v>
      </c>
      <c r="C89" s="1103" t="s">
        <v>677</v>
      </c>
      <c r="D89" t="s">
        <v>678</v>
      </c>
      <c r="E89">
        <v>2022</v>
      </c>
      <c r="F89" t="s">
        <v>665</v>
      </c>
    </row>
    <row r="90" spans="1:6" ht="12.75">
      <c r="A90" t="s">
        <v>318</v>
      </c>
      <c r="B90" t="s">
        <v>519</v>
      </c>
      <c r="C90" s="1103" t="s">
        <v>679</v>
      </c>
      <c r="D90" t="s">
        <v>680</v>
      </c>
      <c r="E90">
        <v>2022</v>
      </c>
      <c r="F90" t="s">
        <v>665</v>
      </c>
    </row>
    <row r="91" spans="1:6" ht="12.75">
      <c r="A91" t="s">
        <v>318</v>
      </c>
      <c r="B91" t="s">
        <v>519</v>
      </c>
      <c r="C91" s="1103" t="s">
        <v>681</v>
      </c>
      <c r="D91" t="s">
        <v>682</v>
      </c>
      <c r="E91">
        <v>2022</v>
      </c>
      <c r="F91" t="s">
        <v>665</v>
      </c>
    </row>
    <row r="92" spans="1:6" ht="12.75">
      <c r="A92" t="s">
        <v>308</v>
      </c>
      <c r="B92" t="s">
        <v>309</v>
      </c>
      <c r="C92" s="1103" t="s">
        <v>306</v>
      </c>
      <c r="D92" t="s">
        <v>307</v>
      </c>
      <c r="E92">
        <v>2022</v>
      </c>
      <c r="F92" t="s">
        <v>310</v>
      </c>
    </row>
    <row r="93" spans="1:6" ht="12.75">
      <c r="A93" t="s">
        <v>308</v>
      </c>
      <c r="B93" t="s">
        <v>339</v>
      </c>
      <c r="C93" s="1103" t="s">
        <v>337</v>
      </c>
      <c r="D93" t="s">
        <v>338</v>
      </c>
      <c r="E93">
        <v>2022</v>
      </c>
      <c r="F93" t="s">
        <v>310</v>
      </c>
    </row>
    <row r="94" spans="1:6" ht="12.75">
      <c r="A94" t="s">
        <v>308</v>
      </c>
      <c r="B94" t="s">
        <v>342</v>
      </c>
      <c r="C94" s="1103" t="s">
        <v>340</v>
      </c>
      <c r="D94" t="s">
        <v>341</v>
      </c>
      <c r="E94">
        <v>2022</v>
      </c>
      <c r="F94" t="s">
        <v>310</v>
      </c>
    </row>
    <row r="95" spans="1:6" ht="12.75">
      <c r="A95" t="s">
        <v>308</v>
      </c>
      <c r="B95" t="s">
        <v>361</v>
      </c>
      <c r="C95" s="1103" t="s">
        <v>359</v>
      </c>
      <c r="D95" t="s">
        <v>360</v>
      </c>
      <c r="E95">
        <v>2022</v>
      </c>
      <c r="F95" t="s">
        <v>355</v>
      </c>
    </row>
    <row r="96" spans="1:6" ht="12.75">
      <c r="A96" t="s">
        <v>308</v>
      </c>
      <c r="B96" t="s">
        <v>403</v>
      </c>
      <c r="C96" s="1103">
        <v>1597</v>
      </c>
      <c r="D96" t="s">
        <v>402</v>
      </c>
      <c r="E96">
        <v>2022</v>
      </c>
      <c r="F96" t="s">
        <v>383</v>
      </c>
    </row>
    <row r="97" spans="1:6" ht="12.75">
      <c r="A97" t="s">
        <v>308</v>
      </c>
      <c r="B97" t="s">
        <v>406</v>
      </c>
      <c r="C97" s="1103" t="s">
        <v>404</v>
      </c>
      <c r="D97" t="s">
        <v>405</v>
      </c>
      <c r="E97">
        <v>2022</v>
      </c>
      <c r="F97" t="s">
        <v>407</v>
      </c>
    </row>
    <row r="98" spans="1:6" ht="12.75">
      <c r="A98" t="s">
        <v>308</v>
      </c>
      <c r="B98" t="s">
        <v>413</v>
      </c>
      <c r="C98" s="1103" t="s">
        <v>411</v>
      </c>
      <c r="D98" t="s">
        <v>412</v>
      </c>
      <c r="E98">
        <v>2022</v>
      </c>
      <c r="F98" t="s">
        <v>407</v>
      </c>
    </row>
    <row r="99" spans="1:6" ht="12.75">
      <c r="A99" t="s">
        <v>308</v>
      </c>
      <c r="B99" t="s">
        <v>419</v>
      </c>
      <c r="C99" s="1103" t="s">
        <v>417</v>
      </c>
      <c r="D99" t="s">
        <v>418</v>
      </c>
      <c r="E99">
        <v>2022</v>
      </c>
      <c r="F99" t="s">
        <v>416</v>
      </c>
    </row>
    <row r="100" spans="1:6" ht="12.75">
      <c r="A100" t="s">
        <v>308</v>
      </c>
      <c r="B100" t="s">
        <v>309</v>
      </c>
      <c r="C100" s="1103" t="s">
        <v>432</v>
      </c>
      <c r="D100" t="s">
        <v>433</v>
      </c>
      <c r="E100">
        <v>2022</v>
      </c>
      <c r="F100" t="s">
        <v>431</v>
      </c>
    </row>
    <row r="101" spans="1:6" ht="12.75">
      <c r="A101" t="s">
        <v>308</v>
      </c>
      <c r="B101" t="s">
        <v>342</v>
      </c>
      <c r="C101" s="1103" t="s">
        <v>434</v>
      </c>
      <c r="D101" t="s">
        <v>435</v>
      </c>
      <c r="E101">
        <v>2022</v>
      </c>
      <c r="F101" t="s">
        <v>431</v>
      </c>
    </row>
    <row r="102" spans="1:6" ht="12.75">
      <c r="A102" t="s">
        <v>308</v>
      </c>
      <c r="B102" t="s">
        <v>476</v>
      </c>
      <c r="C102" s="1103" t="s">
        <v>474</v>
      </c>
      <c r="D102" t="s">
        <v>475</v>
      </c>
      <c r="E102">
        <v>2022</v>
      </c>
      <c r="F102" t="s">
        <v>466</v>
      </c>
    </row>
    <row r="103" spans="1:6" ht="12.75">
      <c r="A103" t="s">
        <v>308</v>
      </c>
      <c r="B103" t="s">
        <v>479</v>
      </c>
      <c r="C103" s="1103" t="s">
        <v>477</v>
      </c>
      <c r="D103" t="s">
        <v>478</v>
      </c>
      <c r="E103">
        <v>2022</v>
      </c>
      <c r="F103" t="s">
        <v>466</v>
      </c>
    </row>
    <row r="104" spans="1:6" ht="12.75">
      <c r="A104" t="s">
        <v>308</v>
      </c>
      <c r="B104" t="s">
        <v>403</v>
      </c>
      <c r="C104" s="1103" t="s">
        <v>535</v>
      </c>
      <c r="D104" t="s">
        <v>536</v>
      </c>
      <c r="E104">
        <v>2022</v>
      </c>
      <c r="F104" t="s">
        <v>310</v>
      </c>
    </row>
    <row r="105" spans="1:6" ht="12.75">
      <c r="A105" t="s">
        <v>308</v>
      </c>
      <c r="B105" t="s">
        <v>560</v>
      </c>
      <c r="C105" s="1103">
        <v>1570</v>
      </c>
      <c r="D105" t="s">
        <v>559</v>
      </c>
      <c r="E105">
        <v>2022</v>
      </c>
      <c r="F105" t="s">
        <v>310</v>
      </c>
    </row>
    <row r="106" spans="1:6" ht="12.75">
      <c r="A106" t="s">
        <v>308</v>
      </c>
      <c r="B106" t="s">
        <v>419</v>
      </c>
      <c r="C106" s="1103" t="s">
        <v>602</v>
      </c>
      <c r="D106" t="s">
        <v>603</v>
      </c>
      <c r="E106">
        <v>2022</v>
      </c>
      <c r="F106" t="s">
        <v>601</v>
      </c>
    </row>
    <row r="107" spans="1:6" ht="12.75">
      <c r="A107" t="s">
        <v>308</v>
      </c>
      <c r="B107" t="s">
        <v>361</v>
      </c>
      <c r="C107" s="1103" t="s">
        <v>607</v>
      </c>
      <c r="D107" t="s">
        <v>608</v>
      </c>
      <c r="E107">
        <v>2022</v>
      </c>
      <c r="F107" t="s">
        <v>333</v>
      </c>
    </row>
    <row r="108" spans="1:6" ht="12.75">
      <c r="A108" t="s">
        <v>308</v>
      </c>
      <c r="B108" t="s">
        <v>620</v>
      </c>
      <c r="C108" s="1103" t="s">
        <v>618</v>
      </c>
      <c r="D108" t="s">
        <v>619</v>
      </c>
      <c r="E108">
        <v>2022</v>
      </c>
      <c r="F108" t="s">
        <v>18</v>
      </c>
    </row>
    <row r="109" spans="1:6" ht="12.75">
      <c r="A109" t="s">
        <v>308</v>
      </c>
      <c r="B109" t="s">
        <v>403</v>
      </c>
      <c r="C109" s="1103" t="s">
        <v>650</v>
      </c>
      <c r="D109" t="s">
        <v>651</v>
      </c>
      <c r="E109">
        <v>2022</v>
      </c>
      <c r="F109" t="s">
        <v>652</v>
      </c>
    </row>
    <row r="110" spans="1:6" ht="12.75">
      <c r="A110" t="s">
        <v>308</v>
      </c>
      <c r="B110" t="s">
        <v>342</v>
      </c>
      <c r="C110" s="1103" t="s">
        <v>696</v>
      </c>
      <c r="D110" t="s">
        <v>697</v>
      </c>
      <c r="E110">
        <v>2022</v>
      </c>
      <c r="F110" t="s">
        <v>665</v>
      </c>
    </row>
    <row r="111" spans="1:6" ht="12.75">
      <c r="A111" t="s">
        <v>331</v>
      </c>
      <c r="B111" t="s">
        <v>332</v>
      </c>
      <c r="C111" s="1103" t="s">
        <v>329</v>
      </c>
      <c r="D111" t="s">
        <v>330</v>
      </c>
      <c r="E111">
        <v>2022</v>
      </c>
      <c r="F111" t="s">
        <v>333</v>
      </c>
    </row>
    <row r="112" spans="1:6" ht="12.75">
      <c r="A112" t="s">
        <v>331</v>
      </c>
      <c r="B112" t="s">
        <v>469</v>
      </c>
      <c r="C112" s="1103" t="s">
        <v>467</v>
      </c>
      <c r="D112" t="s">
        <v>468</v>
      </c>
      <c r="E112">
        <v>2022</v>
      </c>
      <c r="F112" t="s">
        <v>466</v>
      </c>
    </row>
    <row r="113" spans="1:6" ht="12.75">
      <c r="A113" t="s">
        <v>331</v>
      </c>
      <c r="B113" t="s">
        <v>472</v>
      </c>
      <c r="C113" s="1103" t="s">
        <v>470</v>
      </c>
      <c r="D113" t="s">
        <v>471</v>
      </c>
      <c r="E113">
        <v>2022</v>
      </c>
      <c r="F113" t="s">
        <v>473</v>
      </c>
    </row>
    <row r="114" spans="1:6" ht="12.75">
      <c r="A114" t="s">
        <v>331</v>
      </c>
      <c r="B114" t="s">
        <v>332</v>
      </c>
      <c r="C114" s="1103" t="s">
        <v>483</v>
      </c>
      <c r="D114" t="s">
        <v>484</v>
      </c>
      <c r="E114">
        <v>2022</v>
      </c>
      <c r="F114" t="s">
        <v>466</v>
      </c>
    </row>
    <row r="115" spans="1:6" ht="12.75">
      <c r="A115" t="s">
        <v>331</v>
      </c>
      <c r="B115" t="s">
        <v>500</v>
      </c>
      <c r="C115" s="1103" t="s">
        <v>498</v>
      </c>
      <c r="D115" t="s">
        <v>499</v>
      </c>
      <c r="E115">
        <v>2022</v>
      </c>
      <c r="F115" t="s">
        <v>497</v>
      </c>
    </row>
    <row r="116" spans="1:6" ht="12.75">
      <c r="A116" t="s">
        <v>331</v>
      </c>
      <c r="B116" t="s">
        <v>469</v>
      </c>
      <c r="C116" s="1103" t="s">
        <v>567</v>
      </c>
      <c r="D116" t="s">
        <v>568</v>
      </c>
      <c r="E116">
        <v>2022</v>
      </c>
      <c r="F116" t="s">
        <v>566</v>
      </c>
    </row>
    <row r="117" spans="1:6" ht="12.75">
      <c r="A117" t="s">
        <v>331</v>
      </c>
      <c r="B117" t="s">
        <v>332</v>
      </c>
      <c r="C117" s="1103" t="s">
        <v>576</v>
      </c>
      <c r="D117" t="s">
        <v>577</v>
      </c>
      <c r="E117">
        <v>2022</v>
      </c>
      <c r="F117" t="s">
        <v>571</v>
      </c>
    </row>
    <row r="118" spans="1:6" ht="12.75">
      <c r="A118" t="s">
        <v>331</v>
      </c>
      <c r="B118" t="s">
        <v>472</v>
      </c>
      <c r="C118" s="1103" t="s">
        <v>627</v>
      </c>
      <c r="D118" t="s">
        <v>628</v>
      </c>
      <c r="E118">
        <v>2022</v>
      </c>
      <c r="F118" t="s">
        <v>18</v>
      </c>
    </row>
    <row r="119" spans="1:6" ht="12.75">
      <c r="A119" t="s">
        <v>331</v>
      </c>
      <c r="B119" t="s">
        <v>472</v>
      </c>
      <c r="C119" s="1103">
        <v>1630</v>
      </c>
      <c r="D119" t="s">
        <v>661</v>
      </c>
      <c r="E119">
        <v>2022</v>
      </c>
      <c r="F119" t="s">
        <v>18</v>
      </c>
    </row>
    <row r="120" spans="1:6" ht="12.75">
      <c r="A120" t="s">
        <v>349</v>
      </c>
      <c r="B120" t="s">
        <v>350</v>
      </c>
      <c r="C120" s="1103" t="s">
        <v>347</v>
      </c>
      <c r="D120" t="s">
        <v>348</v>
      </c>
      <c r="E120">
        <v>2022</v>
      </c>
      <c r="F120" t="s">
        <v>351</v>
      </c>
    </row>
    <row r="121" spans="1:6" ht="12.75">
      <c r="A121" t="s">
        <v>349</v>
      </c>
      <c r="B121" t="s">
        <v>354</v>
      </c>
      <c r="C121" s="1103" t="s">
        <v>352</v>
      </c>
      <c r="D121" t="s">
        <v>353</v>
      </c>
      <c r="E121">
        <v>2022</v>
      </c>
      <c r="F121" t="s">
        <v>355</v>
      </c>
    </row>
    <row r="122" spans="1:6" ht="12.75">
      <c r="A122" t="s">
        <v>349</v>
      </c>
      <c r="B122" t="s">
        <v>382</v>
      </c>
      <c r="C122" s="1103" t="s">
        <v>380</v>
      </c>
      <c r="D122" t="s">
        <v>381</v>
      </c>
      <c r="E122">
        <v>2022</v>
      </c>
      <c r="F122" t="s">
        <v>383</v>
      </c>
    </row>
    <row r="123" spans="1:6" ht="12.75">
      <c r="A123" t="s">
        <v>349</v>
      </c>
      <c r="B123" t="s">
        <v>350</v>
      </c>
      <c r="C123" s="1103" t="s">
        <v>387</v>
      </c>
      <c r="D123" t="s">
        <v>388</v>
      </c>
      <c r="E123">
        <v>2022</v>
      </c>
      <c r="F123" t="s">
        <v>383</v>
      </c>
    </row>
    <row r="124" spans="1:6" ht="12.75">
      <c r="A124" t="s">
        <v>349</v>
      </c>
      <c r="B124" t="s">
        <v>399</v>
      </c>
      <c r="C124" s="1103" t="s">
        <v>397</v>
      </c>
      <c r="D124" t="s">
        <v>398</v>
      </c>
      <c r="E124">
        <v>2022</v>
      </c>
      <c r="F124" t="s">
        <v>383</v>
      </c>
    </row>
    <row r="125" spans="1:6" ht="12.75">
      <c r="A125" t="s">
        <v>349</v>
      </c>
      <c r="B125" t="s">
        <v>399</v>
      </c>
      <c r="C125" s="1103" t="s">
        <v>400</v>
      </c>
      <c r="D125" t="s">
        <v>401</v>
      </c>
      <c r="E125">
        <v>2022</v>
      </c>
      <c r="F125" t="s">
        <v>383</v>
      </c>
    </row>
    <row r="126" spans="1:6" ht="12.75">
      <c r="A126" t="s">
        <v>349</v>
      </c>
      <c r="B126" t="s">
        <v>430</v>
      </c>
      <c r="C126" s="1103" t="s">
        <v>428</v>
      </c>
      <c r="D126" t="s">
        <v>429</v>
      </c>
      <c r="E126">
        <v>2022</v>
      </c>
      <c r="F126" t="s">
        <v>431</v>
      </c>
    </row>
    <row r="127" spans="1:6" ht="12.75">
      <c r="A127" t="s">
        <v>349</v>
      </c>
      <c r="B127" t="s">
        <v>522</v>
      </c>
      <c r="C127" s="1103" t="s">
        <v>520</v>
      </c>
      <c r="D127" t="s">
        <v>521</v>
      </c>
      <c r="E127">
        <v>2022</v>
      </c>
      <c r="F127" t="s">
        <v>310</v>
      </c>
    </row>
    <row r="128" spans="1:6" ht="12.75">
      <c r="A128" t="s">
        <v>349</v>
      </c>
      <c r="B128" t="s">
        <v>399</v>
      </c>
      <c r="C128" s="1103" t="s">
        <v>525</v>
      </c>
      <c r="D128" t="s">
        <v>526</v>
      </c>
      <c r="E128">
        <v>2022</v>
      </c>
      <c r="F128" t="s">
        <v>310</v>
      </c>
    </row>
    <row r="129" spans="1:6" ht="12.75">
      <c r="A129" t="s">
        <v>349</v>
      </c>
      <c r="B129" t="s">
        <v>399</v>
      </c>
      <c r="C129" s="1103" t="s">
        <v>527</v>
      </c>
      <c r="D129" t="s">
        <v>528</v>
      </c>
      <c r="E129">
        <v>2022</v>
      </c>
      <c r="F129" t="s">
        <v>310</v>
      </c>
    </row>
    <row r="130" spans="1:6" ht="12.75">
      <c r="A130" t="s">
        <v>349</v>
      </c>
      <c r="B130" t="s">
        <v>541</v>
      </c>
      <c r="C130" s="1103" t="s">
        <v>539</v>
      </c>
      <c r="D130" t="s">
        <v>540</v>
      </c>
      <c r="E130">
        <v>2022</v>
      </c>
      <c r="F130" t="s">
        <v>310</v>
      </c>
    </row>
    <row r="131" spans="1:6" ht="12.75">
      <c r="A131" t="s">
        <v>349</v>
      </c>
      <c r="B131" t="s">
        <v>522</v>
      </c>
      <c r="C131" s="1103" t="s">
        <v>545</v>
      </c>
      <c r="D131" t="s">
        <v>546</v>
      </c>
      <c r="E131">
        <v>2022</v>
      </c>
      <c r="F131" t="s">
        <v>310</v>
      </c>
    </row>
    <row r="132" spans="1:6" ht="12.75">
      <c r="A132" t="s">
        <v>349</v>
      </c>
      <c r="B132" t="s">
        <v>430</v>
      </c>
      <c r="C132" s="1103">
        <v>1541</v>
      </c>
      <c r="D132" t="s">
        <v>558</v>
      </c>
      <c r="E132">
        <v>2022</v>
      </c>
      <c r="F132" t="s">
        <v>310</v>
      </c>
    </row>
    <row r="133" spans="1:6" ht="12.75">
      <c r="A133" t="s">
        <v>349</v>
      </c>
      <c r="B133" t="s">
        <v>522</v>
      </c>
      <c r="C133" s="1103" t="s">
        <v>590</v>
      </c>
      <c r="D133" t="s">
        <v>591</v>
      </c>
      <c r="E133">
        <v>2022</v>
      </c>
      <c r="F133" t="s">
        <v>351</v>
      </c>
    </row>
    <row r="134" spans="1:6" ht="12.75">
      <c r="A134" t="s">
        <v>349</v>
      </c>
      <c r="B134" t="s">
        <v>606</v>
      </c>
      <c r="C134" s="1103" t="s">
        <v>604</v>
      </c>
      <c r="D134" t="s">
        <v>605</v>
      </c>
      <c r="E134">
        <v>2022</v>
      </c>
      <c r="F134" t="s">
        <v>601</v>
      </c>
    </row>
    <row r="135" spans="1:6" ht="12.75">
      <c r="A135" t="s">
        <v>349</v>
      </c>
      <c r="B135" t="s">
        <v>350</v>
      </c>
      <c r="C135" s="1103" t="s">
        <v>655</v>
      </c>
      <c r="D135" t="s">
        <v>656</v>
      </c>
      <c r="E135">
        <v>2022</v>
      </c>
      <c r="F135" t="s">
        <v>652</v>
      </c>
    </row>
    <row r="136" spans="1:6" ht="12.75">
      <c r="A136" t="s">
        <v>349</v>
      </c>
      <c r="B136" t="s">
        <v>382</v>
      </c>
      <c r="C136" s="1103" t="s">
        <v>666</v>
      </c>
      <c r="D136" t="s">
        <v>667</v>
      </c>
      <c r="E136">
        <v>2022</v>
      </c>
      <c r="F136" t="s">
        <v>665</v>
      </c>
    </row>
    <row r="137" spans="1:6" ht="12.75">
      <c r="A137" t="s">
        <v>395</v>
      </c>
      <c r="B137" t="s">
        <v>396</v>
      </c>
      <c r="C137" s="1103" t="s">
        <v>393</v>
      </c>
      <c r="D137" t="s">
        <v>394</v>
      </c>
      <c r="E137">
        <v>2022</v>
      </c>
      <c r="F137" t="s">
        <v>383</v>
      </c>
    </row>
    <row r="138" spans="1:6" ht="12.75">
      <c r="A138" t="s">
        <v>395</v>
      </c>
      <c r="B138" t="s">
        <v>496</v>
      </c>
      <c r="C138" s="1103" t="s">
        <v>494</v>
      </c>
      <c r="D138" t="s">
        <v>495</v>
      </c>
      <c r="E138">
        <v>2022</v>
      </c>
      <c r="F138" t="s">
        <v>497</v>
      </c>
    </row>
    <row r="139" spans="1:6" ht="12.75">
      <c r="A139" t="s">
        <v>395</v>
      </c>
      <c r="B139" t="s">
        <v>506</v>
      </c>
      <c r="C139" s="1103" t="s">
        <v>504</v>
      </c>
      <c r="D139" t="s">
        <v>505</v>
      </c>
      <c r="E139">
        <v>2022</v>
      </c>
      <c r="F139" t="s">
        <v>507</v>
      </c>
    </row>
    <row r="140" spans="1:6" ht="12.75">
      <c r="A140" t="s">
        <v>395</v>
      </c>
      <c r="B140" t="s">
        <v>496</v>
      </c>
      <c r="C140" s="1103" t="s">
        <v>515</v>
      </c>
      <c r="D140" t="s">
        <v>516</v>
      </c>
      <c r="E140">
        <v>2022</v>
      </c>
      <c r="F140" t="s">
        <v>310</v>
      </c>
    </row>
    <row r="141" spans="1:6" ht="12.75">
      <c r="A141" t="s">
        <v>395</v>
      </c>
      <c r="B141" t="s">
        <v>496</v>
      </c>
      <c r="C141" s="1103" t="s">
        <v>547</v>
      </c>
      <c r="D141" t="s">
        <v>548</v>
      </c>
      <c r="E141">
        <v>2022</v>
      </c>
      <c r="F141" t="s">
        <v>310</v>
      </c>
    </row>
    <row r="142" spans="1:6" ht="12.75">
      <c r="A142" t="s">
        <v>395</v>
      </c>
      <c r="B142" t="s">
        <v>506</v>
      </c>
      <c r="C142" s="1103" t="s">
        <v>552</v>
      </c>
      <c r="D142" t="s">
        <v>553</v>
      </c>
      <c r="E142">
        <v>2022</v>
      </c>
      <c r="F142" t="s">
        <v>310</v>
      </c>
    </row>
    <row r="143" spans="1:6" ht="12.75">
      <c r="A143" t="s">
        <v>395</v>
      </c>
      <c r="B143" t="s">
        <v>496</v>
      </c>
      <c r="C143" s="1103" t="s">
        <v>637</v>
      </c>
      <c r="D143" t="s">
        <v>638</v>
      </c>
      <c r="E143">
        <v>2022</v>
      </c>
      <c r="F143" t="s">
        <v>18</v>
      </c>
    </row>
    <row r="144" spans="1:6" ht="12.75">
      <c r="A144" t="s">
        <v>368</v>
      </c>
      <c r="B144" t="s">
        <v>369</v>
      </c>
      <c r="C144" s="1103" t="s">
        <v>366</v>
      </c>
      <c r="D144" t="s">
        <v>367</v>
      </c>
      <c r="E144">
        <v>2022</v>
      </c>
      <c r="F144" t="s">
        <v>355</v>
      </c>
    </row>
    <row r="145" spans="1:6" ht="12.75">
      <c r="A145" t="s">
        <v>368</v>
      </c>
      <c r="B145" t="s">
        <v>369</v>
      </c>
      <c r="C145" s="1103" t="s">
        <v>414</v>
      </c>
      <c r="D145" t="s">
        <v>415</v>
      </c>
      <c r="E145">
        <v>2022</v>
      </c>
      <c r="F145" t="s">
        <v>416</v>
      </c>
    </row>
    <row r="146" spans="1:6" ht="12.75">
      <c r="A146" t="s">
        <v>368</v>
      </c>
      <c r="B146" t="s">
        <v>463</v>
      </c>
      <c r="C146" s="1103">
        <v>1699</v>
      </c>
      <c r="D146" t="s">
        <v>462</v>
      </c>
      <c r="E146">
        <v>2022</v>
      </c>
      <c r="F146" t="s">
        <v>442</v>
      </c>
    </row>
    <row r="147" spans="1:6" ht="12.75">
      <c r="A147" t="s">
        <v>368</v>
      </c>
      <c r="B147" t="s">
        <v>369</v>
      </c>
      <c r="C147" s="1103" t="s">
        <v>485</v>
      </c>
      <c r="D147" t="s">
        <v>486</v>
      </c>
      <c r="E147">
        <v>2022</v>
      </c>
      <c r="F147" t="s">
        <v>323</v>
      </c>
    </row>
    <row r="148" spans="1:6" ht="12.75">
      <c r="A148" t="s">
        <v>368</v>
      </c>
      <c r="B148" t="s">
        <v>463</v>
      </c>
      <c r="C148" s="1103" t="s">
        <v>508</v>
      </c>
      <c r="D148" t="s">
        <v>509</v>
      </c>
      <c r="E148">
        <v>2022</v>
      </c>
      <c r="F148" t="s">
        <v>507</v>
      </c>
    </row>
    <row r="149" spans="1:6" ht="12.75">
      <c r="A149" t="s">
        <v>368</v>
      </c>
      <c r="B149" t="s">
        <v>463</v>
      </c>
      <c r="C149" s="1103">
        <v>1676</v>
      </c>
      <c r="D149" t="s">
        <v>561</v>
      </c>
      <c r="E149">
        <v>2022</v>
      </c>
      <c r="F149" t="s">
        <v>310</v>
      </c>
    </row>
    <row r="150" spans="1:6" ht="12.75">
      <c r="A150" t="s">
        <v>368</v>
      </c>
      <c r="B150" t="s">
        <v>369</v>
      </c>
      <c r="C150" s="1103" t="s">
        <v>585</v>
      </c>
      <c r="D150" t="s">
        <v>586</v>
      </c>
      <c r="E150">
        <v>2022</v>
      </c>
      <c r="F150" t="s">
        <v>351</v>
      </c>
    </row>
    <row r="151" spans="1:6" ht="12.75">
      <c r="A151" t="s">
        <v>368</v>
      </c>
      <c r="B151" t="s">
        <v>369</v>
      </c>
      <c r="C151" s="1103" t="s">
        <v>621</v>
      </c>
      <c r="D151" t="s">
        <v>622</v>
      </c>
      <c r="E151">
        <v>2022</v>
      </c>
      <c r="F151" t="s">
        <v>18</v>
      </c>
    </row>
    <row r="152" spans="1:6" ht="12.75">
      <c r="A152" t="s">
        <v>368</v>
      </c>
      <c r="B152" t="s">
        <v>648</v>
      </c>
      <c r="C152" s="1103" t="s">
        <v>646</v>
      </c>
      <c r="D152" t="s">
        <v>647</v>
      </c>
      <c r="E152">
        <v>2022</v>
      </c>
      <c r="F152" t="s">
        <v>18</v>
      </c>
    </row>
    <row r="153" spans="1:6" ht="12.75">
      <c r="A153" t="s">
        <v>368</v>
      </c>
      <c r="B153" t="s">
        <v>369</v>
      </c>
      <c r="C153" s="1103">
        <v>1655</v>
      </c>
      <c r="D153" t="s">
        <v>660</v>
      </c>
      <c r="E153">
        <v>2022</v>
      </c>
      <c r="F153" t="s">
        <v>652</v>
      </c>
    </row>
  </sheetData>
  <sheetProtection/>
  <autoFilter ref="C1:F153"/>
  <printOptions/>
  <pageMargins left="0.7" right="0.7" top="0.75" bottom="0.75" header="0.3" footer="0.3"/>
  <pageSetup orientation="portrait" paperSize="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81"/>
  <sheetViews>
    <sheetView showGridLines="0" tabSelected="1" zoomScalePageLayoutView="0" workbookViewId="0" topLeftCell="A1">
      <selection activeCell="L66" sqref="L66"/>
    </sheetView>
  </sheetViews>
  <sheetFormatPr defaultColWidth="11.421875" defaultRowHeight="12.75"/>
  <cols>
    <col min="1" max="1" width="2.421875" style="0" customWidth="1"/>
    <col min="2" max="2" width="12.7109375" style="0" customWidth="1"/>
    <col min="3" max="3" width="10.00390625" style="0" customWidth="1"/>
    <col min="4" max="4" width="9.28125" style="188" customWidth="1"/>
    <col min="5" max="5" width="10.421875" style="188" bestFit="1" customWidth="1"/>
    <col min="6" max="6" width="7.8515625" style="188" bestFit="1" customWidth="1"/>
    <col min="7" max="7" width="11.8515625" style="418" bestFit="1" customWidth="1"/>
    <col min="8" max="8" width="11.00390625" style="188" customWidth="1"/>
    <col min="9" max="9" width="10.28125" style="418" bestFit="1" customWidth="1"/>
    <col min="10" max="10" width="10.8515625" style="418" customWidth="1"/>
    <col min="11" max="11" width="9.00390625" style="418" customWidth="1"/>
    <col min="12" max="12" width="9.28125" style="418" bestFit="1" customWidth="1"/>
    <col min="13" max="13" width="11.421875" style="418" customWidth="1"/>
    <col min="14" max="14" width="11.140625" style="10" bestFit="1" customWidth="1"/>
    <col min="15" max="15" width="15.140625" style="10" bestFit="1" customWidth="1"/>
    <col min="16" max="16" width="11.00390625" style="10" customWidth="1"/>
    <col min="17" max="17" width="13.7109375" style="10" bestFit="1" customWidth="1"/>
    <col min="18" max="18" width="12.421875" style="10" bestFit="1" customWidth="1"/>
    <col min="19" max="19" width="12.00390625" style="10" bestFit="1" customWidth="1"/>
    <col min="20" max="20" width="11.28125" style="10" customWidth="1"/>
    <col min="21" max="21" width="9.28125" style="10" bestFit="1" customWidth="1"/>
    <col min="22" max="22" width="11.28125" style="10" customWidth="1"/>
    <col min="23" max="23" width="11.140625" style="10" bestFit="1" customWidth="1"/>
    <col min="24" max="24" width="9.421875" style="10" bestFit="1" customWidth="1"/>
    <col min="25" max="27" width="9.421875" style="10" customWidth="1"/>
    <col min="28" max="28" width="10.28125" style="10" bestFit="1" customWidth="1"/>
    <col min="29" max="29" width="9.28125" style="10" bestFit="1" customWidth="1"/>
  </cols>
  <sheetData>
    <row r="1" spans="3:10" ht="13.5" thickBot="1">
      <c r="C1" s="188"/>
      <c r="D1"/>
      <c r="E1" s="418"/>
      <c r="F1"/>
      <c r="I1" s="1103"/>
      <c r="J1" s="10"/>
    </row>
    <row r="2" spans="2:29" ht="30.75" thickBot="1">
      <c r="B2" s="1549" t="s">
        <v>218</v>
      </c>
      <c r="C2" s="1550"/>
      <c r="D2" s="1524" t="s">
        <v>703</v>
      </c>
      <c r="E2" s="1752" t="s">
        <v>220</v>
      </c>
      <c r="F2" s="1524" t="s">
        <v>121</v>
      </c>
      <c r="G2" s="1752" t="s">
        <v>221</v>
      </c>
      <c r="H2" s="1524" t="s">
        <v>222</v>
      </c>
      <c r="I2" s="1752" t="s">
        <v>223</v>
      </c>
      <c r="J2" s="1514" t="s">
        <v>271</v>
      </c>
      <c r="K2" s="1754" t="s">
        <v>246</v>
      </c>
      <c r="L2" s="1755"/>
      <c r="M2" s="1755"/>
      <c r="N2" s="1755"/>
      <c r="O2" s="1755"/>
      <c r="P2" s="1110"/>
      <c r="Q2" s="839" t="s">
        <v>247</v>
      </c>
      <c r="R2" s="840" t="s">
        <v>125</v>
      </c>
      <c r="S2" s="839" t="s">
        <v>250</v>
      </c>
      <c r="T2" s="841" t="s">
        <v>2</v>
      </c>
      <c r="U2" s="839" t="s">
        <v>272</v>
      </c>
      <c r="V2" s="1746" t="s">
        <v>704</v>
      </c>
      <c r="W2" s="1746" t="s">
        <v>126</v>
      </c>
      <c r="X2" s="1746" t="s">
        <v>705</v>
      </c>
      <c r="Y2" s="1746" t="s">
        <v>706</v>
      </c>
      <c r="Z2" s="1746" t="s">
        <v>19</v>
      </c>
      <c r="AA2" s="1853" t="s">
        <v>284</v>
      </c>
      <c r="AB2" s="1744" t="s">
        <v>17</v>
      </c>
      <c r="AC2" s="1746" t="s">
        <v>3</v>
      </c>
    </row>
    <row r="3" spans="1:29" ht="75.75" thickBot="1">
      <c r="A3" s="10"/>
      <c r="B3" s="1551"/>
      <c r="C3" s="1552"/>
      <c r="D3" s="1525"/>
      <c r="E3" s="1753"/>
      <c r="F3" s="1525"/>
      <c r="G3" s="1753"/>
      <c r="H3" s="1525"/>
      <c r="I3" s="1753"/>
      <c r="J3" s="1515"/>
      <c r="K3" s="842" t="s">
        <v>251</v>
      </c>
      <c r="L3" s="842" t="s">
        <v>273</v>
      </c>
      <c r="M3" s="842" t="s">
        <v>274</v>
      </c>
      <c r="N3" s="842" t="s">
        <v>254</v>
      </c>
      <c r="O3" s="843" t="s">
        <v>255</v>
      </c>
      <c r="P3" s="842" t="s">
        <v>707</v>
      </c>
      <c r="Q3" s="844" t="s">
        <v>708</v>
      </c>
      <c r="R3" s="845" t="s">
        <v>290</v>
      </c>
      <c r="S3" s="845" t="s">
        <v>709</v>
      </c>
      <c r="T3" s="1107" t="s">
        <v>262</v>
      </c>
      <c r="U3" s="1107" t="s">
        <v>710</v>
      </c>
      <c r="V3" s="1858"/>
      <c r="W3" s="1747"/>
      <c r="X3" s="1747"/>
      <c r="Y3" s="1747"/>
      <c r="Z3" s="1747"/>
      <c r="AA3" s="1854"/>
      <c r="AB3" s="1745"/>
      <c r="AC3" s="1747"/>
    </row>
    <row r="4" spans="1:29" s="472" customFormat="1" ht="16.5" thickBot="1">
      <c r="A4" s="846"/>
      <c r="B4" s="1503" t="s">
        <v>129</v>
      </c>
      <c r="C4" s="1504"/>
      <c r="D4" s="1111"/>
      <c r="E4" s="847"/>
      <c r="F4" s="1111"/>
      <c r="G4" s="847"/>
      <c r="H4" s="1111"/>
      <c r="I4" s="847"/>
      <c r="J4" s="844"/>
      <c r="K4" s="1859" t="s">
        <v>711</v>
      </c>
      <c r="L4" s="1860" t="s">
        <v>279</v>
      </c>
      <c r="M4" s="1860" t="s">
        <v>279</v>
      </c>
      <c r="N4" s="1860" t="s">
        <v>279</v>
      </c>
      <c r="O4" s="1860" t="s">
        <v>279</v>
      </c>
      <c r="P4" s="1860" t="s">
        <v>278</v>
      </c>
      <c r="Q4" s="1861" t="s">
        <v>279</v>
      </c>
      <c r="R4" s="1862" t="s">
        <v>278</v>
      </c>
      <c r="S4" s="1861" t="s">
        <v>712</v>
      </c>
      <c r="T4" s="1863" t="s">
        <v>279</v>
      </c>
      <c r="U4" s="1111" t="s">
        <v>279</v>
      </c>
      <c r="V4" s="1863" t="s">
        <v>281</v>
      </c>
      <c r="W4" s="1861" t="s">
        <v>278</v>
      </c>
      <c r="X4" s="1864" t="s">
        <v>713</v>
      </c>
      <c r="Y4" s="469" t="s">
        <v>134</v>
      </c>
      <c r="Z4" s="469" t="s">
        <v>134</v>
      </c>
      <c r="AA4" s="849" t="s">
        <v>714</v>
      </c>
      <c r="AB4" s="581" t="s">
        <v>134</v>
      </c>
      <c r="AC4" s="458" t="s">
        <v>134</v>
      </c>
    </row>
    <row r="5" spans="1:29" ht="31.5" customHeight="1" thickBot="1">
      <c r="A5" s="10"/>
      <c r="B5" s="1855" t="s">
        <v>138</v>
      </c>
      <c r="C5" s="1856"/>
      <c r="D5" s="1041"/>
      <c r="E5" s="1042"/>
      <c r="F5" s="1041"/>
      <c r="G5" s="1043"/>
      <c r="H5" s="1044"/>
      <c r="I5" s="1045"/>
      <c r="J5" s="1046"/>
      <c r="K5" s="1865">
        <v>96</v>
      </c>
      <c r="L5" s="1866">
        <v>235</v>
      </c>
      <c r="M5" s="1867">
        <v>216</v>
      </c>
      <c r="N5" s="1867">
        <v>160.3</v>
      </c>
      <c r="O5" s="1868">
        <v>177.7</v>
      </c>
      <c r="P5" s="1868">
        <v>450.35</v>
      </c>
      <c r="Q5" s="1869">
        <v>300</v>
      </c>
      <c r="R5" s="1869">
        <v>962.5</v>
      </c>
      <c r="S5" s="1870">
        <v>185</v>
      </c>
      <c r="T5" s="1871">
        <v>119.9</v>
      </c>
      <c r="U5" s="1053">
        <v>324</v>
      </c>
      <c r="V5" s="1871">
        <v>285</v>
      </c>
      <c r="W5" s="1870">
        <v>202</v>
      </c>
      <c r="X5" s="1872">
        <v>545</v>
      </c>
      <c r="Y5" s="1054">
        <v>590</v>
      </c>
      <c r="Z5" s="1054">
        <v>300</v>
      </c>
      <c r="AA5" s="1055">
        <v>150</v>
      </c>
      <c r="AB5" s="1056">
        <v>300</v>
      </c>
      <c r="AC5" s="1057">
        <v>300</v>
      </c>
    </row>
    <row r="6" spans="2:29" ht="13.5">
      <c r="B6" s="1873" t="s">
        <v>229</v>
      </c>
      <c r="C6" s="1874"/>
      <c r="D6" s="1524">
        <v>99</v>
      </c>
      <c r="E6" s="1678">
        <f>D6/$D$73</f>
        <v>0.11785714285714285</v>
      </c>
      <c r="F6" s="1751">
        <f>COUNTA(K6:AC11)-2</f>
        <v>10</v>
      </c>
      <c r="G6" s="1678">
        <f>F6/D6</f>
        <v>0.10101010101010101</v>
      </c>
      <c r="H6" s="1681">
        <f>$K$5*COUNTA(K6:K11)+$L$5*COUNTA(L6:L11)+$M$5*COUNTA(M6:M11)+$N$5*COUNTA(N6:N11)+$O$5*COUNTA(O6:O11)+$Q$5*COUNTA(Q6:Q11)+$R$5*COUNTA(R6:R11)+$S$5*COUNTA(S6:S11)+$T$5*COUNTA(T6:T11)+$U$5*COUNTA(U6:U11)+$W$5*COUNTA(W6:W11)+$X$5*COUNTA(X6:X11)+$Z$5*COUNTA(Z6:Z11)+$AB$5*COUNTA(AB6:AB11)+$AC$5*COUNTA(AC6:AC11)+$V$5*COUNTA(V6:V11)+$AA$5*COUNTA(AA6:AA11)+$P$5*COUNTA(P6:P11)</f>
        <v>2874</v>
      </c>
      <c r="I6" s="1664">
        <f>H6/H73</f>
        <v>0.11088497709187363</v>
      </c>
      <c r="J6" s="1666">
        <f>H6/F6</f>
        <v>287.4</v>
      </c>
      <c r="K6" s="864"/>
      <c r="L6" s="864"/>
      <c r="M6" s="864"/>
      <c r="N6" s="864"/>
      <c r="O6" s="864"/>
      <c r="P6" s="865"/>
      <c r="Q6" s="866"/>
      <c r="R6" s="867"/>
      <c r="S6" s="866"/>
      <c r="T6" s="868"/>
      <c r="U6" s="868"/>
      <c r="V6" s="868"/>
      <c r="W6" s="867"/>
      <c r="X6" s="867"/>
      <c r="Y6" s="867"/>
      <c r="Z6" s="867"/>
      <c r="AA6" s="869"/>
      <c r="AB6" s="870">
        <v>247</v>
      </c>
      <c r="AC6" s="871"/>
    </row>
    <row r="7" spans="2:29" ht="13.5">
      <c r="B7" s="1875"/>
      <c r="C7" s="1876"/>
      <c r="D7" s="1677"/>
      <c r="E7" s="1679"/>
      <c r="F7" s="1677"/>
      <c r="G7" s="1679"/>
      <c r="H7" s="1682"/>
      <c r="I7" s="1665"/>
      <c r="J7" s="1667"/>
      <c r="K7" s="872"/>
      <c r="L7" s="872"/>
      <c r="M7" s="872"/>
      <c r="N7" s="872"/>
      <c r="O7" s="872"/>
      <c r="P7" s="873"/>
      <c r="Q7" s="874"/>
      <c r="R7" s="875"/>
      <c r="S7" s="874"/>
      <c r="T7" s="876"/>
      <c r="U7" s="876"/>
      <c r="V7" s="876">
        <v>544</v>
      </c>
      <c r="W7" s="875"/>
      <c r="X7" s="875"/>
      <c r="Y7" s="875"/>
      <c r="Z7" s="875"/>
      <c r="AA7" s="877"/>
      <c r="AB7" s="878"/>
      <c r="AC7" s="887"/>
    </row>
    <row r="8" spans="2:29" ht="13.5">
      <c r="B8" s="1875"/>
      <c r="C8" s="1876"/>
      <c r="D8" s="1677"/>
      <c r="E8" s="1679"/>
      <c r="F8" s="1677"/>
      <c r="G8" s="1679"/>
      <c r="H8" s="1682"/>
      <c r="I8" s="1665"/>
      <c r="J8" s="1667"/>
      <c r="K8" s="880"/>
      <c r="L8" s="880"/>
      <c r="M8" s="880"/>
      <c r="N8" s="880"/>
      <c r="O8" s="881"/>
      <c r="P8" s="881"/>
      <c r="Q8" s="882">
        <v>445</v>
      </c>
      <c r="R8" s="883"/>
      <c r="S8" s="882"/>
      <c r="T8" s="884"/>
      <c r="U8" s="884"/>
      <c r="V8" s="884"/>
      <c r="W8" s="883"/>
      <c r="X8" s="883"/>
      <c r="Y8" s="883">
        <v>1724</v>
      </c>
      <c r="Z8" s="883"/>
      <c r="AA8" s="885"/>
      <c r="AB8" s="886"/>
      <c r="AC8" s="887"/>
    </row>
    <row r="9" spans="2:29" ht="13.5">
      <c r="B9" s="1875"/>
      <c r="C9" s="1876"/>
      <c r="D9" s="1677"/>
      <c r="E9" s="1679"/>
      <c r="F9" s="1677"/>
      <c r="G9" s="1679"/>
      <c r="H9" s="1682"/>
      <c r="I9" s="1665"/>
      <c r="J9" s="1667"/>
      <c r="K9" s="880"/>
      <c r="L9" s="880"/>
      <c r="M9" s="880"/>
      <c r="N9" s="880"/>
      <c r="O9" s="881"/>
      <c r="P9" s="881"/>
      <c r="Q9" s="882">
        <v>1729</v>
      </c>
      <c r="R9" s="883"/>
      <c r="S9" s="882"/>
      <c r="T9" s="884"/>
      <c r="U9" s="884"/>
      <c r="V9" s="884"/>
      <c r="W9" s="883"/>
      <c r="X9" s="883"/>
      <c r="Y9" s="883"/>
      <c r="Z9" s="883"/>
      <c r="AA9" s="885"/>
      <c r="AB9" s="886"/>
      <c r="AC9" s="887">
        <v>52</v>
      </c>
    </row>
    <row r="10" spans="2:29" ht="13.5">
      <c r="B10" s="1875"/>
      <c r="C10" s="1876"/>
      <c r="D10" s="1677"/>
      <c r="E10" s="1679"/>
      <c r="F10" s="1677"/>
      <c r="G10" s="1679"/>
      <c r="H10" s="1682"/>
      <c r="I10" s="1665"/>
      <c r="J10" s="1667"/>
      <c r="K10" s="880"/>
      <c r="L10" s="880">
        <v>1647</v>
      </c>
      <c r="M10" s="880"/>
      <c r="N10" s="880"/>
      <c r="O10" s="881">
        <v>1647</v>
      </c>
      <c r="P10" s="881"/>
      <c r="Q10" s="882"/>
      <c r="R10" s="883"/>
      <c r="S10" s="882"/>
      <c r="T10" s="884"/>
      <c r="U10" s="884"/>
      <c r="V10" s="884"/>
      <c r="W10" s="883"/>
      <c r="X10" s="883"/>
      <c r="Y10" s="883"/>
      <c r="Z10" s="883"/>
      <c r="AA10" s="885"/>
      <c r="AB10" s="886">
        <v>647</v>
      </c>
      <c r="AC10" s="887"/>
    </row>
    <row r="11" spans="2:29" ht="15" thickBot="1">
      <c r="B11" s="1877"/>
      <c r="C11" s="1878"/>
      <c r="D11" s="1525"/>
      <c r="E11" s="1680"/>
      <c r="F11" s="1677"/>
      <c r="G11" s="1679"/>
      <c r="H11" s="1682"/>
      <c r="I11" s="1665"/>
      <c r="J11" s="1667"/>
      <c r="K11" s="880"/>
      <c r="L11" s="880"/>
      <c r="M11" s="880">
        <v>43</v>
      </c>
      <c r="N11" s="880">
        <v>43</v>
      </c>
      <c r="O11" s="881"/>
      <c r="P11" s="881"/>
      <c r="Q11" s="882"/>
      <c r="R11" s="883"/>
      <c r="S11" s="882"/>
      <c r="T11" s="884"/>
      <c r="U11" s="884"/>
      <c r="V11" s="884"/>
      <c r="W11" s="883"/>
      <c r="X11" s="883"/>
      <c r="Y11" s="883"/>
      <c r="Z11" s="883"/>
      <c r="AA11" s="883"/>
      <c r="AB11" s="886"/>
      <c r="AC11" s="887">
        <v>139</v>
      </c>
    </row>
    <row r="12" spans="2:29" ht="13.5">
      <c r="B12" s="1875" t="s">
        <v>230</v>
      </c>
      <c r="C12" s="1879"/>
      <c r="D12" s="1677">
        <v>49</v>
      </c>
      <c r="E12" s="1679">
        <f>D12/$D$73</f>
        <v>0.058333333333333334</v>
      </c>
      <c r="F12" s="1524">
        <f>COUNTA(K12:AC15)-1</f>
        <v>5</v>
      </c>
      <c r="G12" s="1678">
        <f>F12/D12</f>
        <v>0.10204081632653061</v>
      </c>
      <c r="H12" s="1681">
        <f>$K$5*COUNTA(K12:K15)+$L$5*COUNTA(L12:L15)+$N$5*COUNTA(N12:N15)+$O$5*COUNTA(O12:O15)+$Q$5*COUNTA(Q12:Q15)+$R$5*COUNTA(R12:R15)+$S$5*COUNTA(S12:S15)+$T$5*COUNTA(T12:T15)+$W$5*COUNTA(W12:W15)+$X$5*COUNTA(X12:X15)+$Z$5*COUNTA(Z12:Z15)+$AB$5*COUNTA(AB12:AB15)+$AC$5*COUNTA(AC12:AC15)+$M$5*COUNTA(M12:M15)+$U$5*COUNTA(U12:U15)+$V$5*COUNTA(V6:V11)+$P$5*COUNTA(P12:P15)+$V$5*COUNTA(V12:V15)+$AA$5*COUNTA(AA12:AA15)</f>
        <v>1986</v>
      </c>
      <c r="I12" s="1664">
        <f>H12/H73</f>
        <v>0.07662406558958282</v>
      </c>
      <c r="J12" s="1666">
        <f>H12/F12</f>
        <v>397.2</v>
      </c>
      <c r="K12" s="895"/>
      <c r="L12" s="895"/>
      <c r="M12" s="895">
        <v>240</v>
      </c>
      <c r="N12" s="895"/>
      <c r="O12" s="896"/>
      <c r="P12" s="896"/>
      <c r="Q12" s="867">
        <v>378</v>
      </c>
      <c r="R12" s="867"/>
      <c r="S12" s="867"/>
      <c r="T12" s="868"/>
      <c r="U12" s="868"/>
      <c r="V12" s="868"/>
      <c r="W12" s="867"/>
      <c r="X12" s="867"/>
      <c r="Y12" s="867"/>
      <c r="Z12" s="867"/>
      <c r="AA12" s="869"/>
      <c r="AB12" s="870"/>
      <c r="AC12" s="871"/>
    </row>
    <row r="13" spans="2:29" ht="13.5">
      <c r="B13" s="1875"/>
      <c r="C13" s="1879"/>
      <c r="D13" s="1677"/>
      <c r="E13" s="1679"/>
      <c r="F13" s="1677"/>
      <c r="G13" s="1679"/>
      <c r="H13" s="1682"/>
      <c r="I13" s="1665"/>
      <c r="J13" s="1667"/>
      <c r="K13" s="897"/>
      <c r="L13" s="897"/>
      <c r="M13" s="897"/>
      <c r="N13" s="897"/>
      <c r="O13" s="873"/>
      <c r="P13" s="873"/>
      <c r="Q13" s="874">
        <v>379</v>
      </c>
      <c r="R13" s="875"/>
      <c r="S13" s="874"/>
      <c r="T13" s="898"/>
      <c r="U13" s="898"/>
      <c r="V13" s="898"/>
      <c r="W13" s="874"/>
      <c r="X13" s="875"/>
      <c r="Y13" s="875"/>
      <c r="Z13" s="875"/>
      <c r="AA13" s="877"/>
      <c r="AB13" s="878"/>
      <c r="AC13" s="899"/>
    </row>
    <row r="14" spans="2:29" ht="13.5">
      <c r="B14" s="1875"/>
      <c r="C14" s="1879"/>
      <c r="D14" s="1677"/>
      <c r="E14" s="1679"/>
      <c r="F14" s="1677"/>
      <c r="G14" s="1679"/>
      <c r="H14" s="1682"/>
      <c r="I14" s="1665"/>
      <c r="J14" s="1667"/>
      <c r="K14" s="897"/>
      <c r="L14" s="897"/>
      <c r="M14" s="897"/>
      <c r="N14" s="897"/>
      <c r="O14" s="873"/>
      <c r="P14" s="873"/>
      <c r="Q14" s="874">
        <v>410</v>
      </c>
      <c r="R14" s="875"/>
      <c r="S14" s="874"/>
      <c r="T14" s="898"/>
      <c r="U14" s="898"/>
      <c r="V14" s="898">
        <v>410</v>
      </c>
      <c r="W14" s="874"/>
      <c r="X14" s="875"/>
      <c r="Y14" s="875"/>
      <c r="Z14" s="875"/>
      <c r="AA14" s="877"/>
      <c r="AB14" s="878">
        <v>409</v>
      </c>
      <c r="AC14" s="899"/>
    </row>
    <row r="15" spans="2:29" ht="15" thickBot="1">
      <c r="B15" s="1875"/>
      <c r="C15" s="1879"/>
      <c r="D15" s="1677"/>
      <c r="E15" s="1679"/>
      <c r="F15" s="1677"/>
      <c r="G15" s="1679"/>
      <c r="H15" s="1682"/>
      <c r="I15" s="1665"/>
      <c r="J15" s="1667"/>
      <c r="K15" s="897"/>
      <c r="L15" s="897"/>
      <c r="M15" s="897"/>
      <c r="N15" s="897"/>
      <c r="O15" s="873"/>
      <c r="P15" s="873"/>
      <c r="Q15" s="874"/>
      <c r="R15" s="875"/>
      <c r="S15" s="874"/>
      <c r="T15" s="898"/>
      <c r="U15" s="898"/>
      <c r="V15" s="898"/>
      <c r="W15" s="874"/>
      <c r="X15" s="875"/>
      <c r="Y15" s="875"/>
      <c r="Z15" s="875"/>
      <c r="AA15" s="877"/>
      <c r="AB15" s="878"/>
      <c r="AC15" s="899"/>
    </row>
    <row r="16" spans="2:29" ht="13.5">
      <c r="B16" s="1873" t="s">
        <v>231</v>
      </c>
      <c r="C16" s="1880"/>
      <c r="D16" s="1524">
        <v>42</v>
      </c>
      <c r="E16" s="1678">
        <f>D16/$D$73</f>
        <v>0.05</v>
      </c>
      <c r="F16" s="1524">
        <f>COUNTA(K16:AC18)-2</f>
        <v>4</v>
      </c>
      <c r="G16" s="1678">
        <f>F16/D16</f>
        <v>0.09523809523809523</v>
      </c>
      <c r="H16" s="1681">
        <f>$K$5*COUNTA(K16:K18)+$L$5*COUNTA(L16:L18)+$N$5*COUNTA(N16:N18)+$O$5*COUNTA(O16:O18)+$Q$5*COUNTA(Q16:Q18)+$R$5*COUNTA(R16:R18)+$S$5*COUNTA(S16:S18)+$T$5*COUNTA(T16:T18)+$W$5*COUNTA(W16:W18)+$X$5*COUNTA(X16:X18)++$Z$5*COUNTA(Z16:Z18)+$AB$5*COUNTA(AB16:AB18)+$AC$5*COUNTA(AC16:AC18)+$M$5*COUNTA(M16:M18)+$U$5*COUNTA(U16:U18)+$AB$5*COUNTA(AA16:AA18)+$P$5*COUNTA(P16:P18)+$V$5*COUNTA(V16:V18)</f>
        <v>1196.3</v>
      </c>
      <c r="I16" s="1664">
        <f>H16/H73</f>
        <v>0.04615577525922353</v>
      </c>
      <c r="J16" s="1666">
        <f>H16/F16</f>
        <v>299.075</v>
      </c>
      <c r="K16" s="895"/>
      <c r="L16" s="895"/>
      <c r="M16" s="895"/>
      <c r="N16" s="895"/>
      <c r="O16" s="896"/>
      <c r="P16" s="896"/>
      <c r="Q16" s="867">
        <v>150</v>
      </c>
      <c r="R16" s="867"/>
      <c r="S16" s="867"/>
      <c r="T16" s="868"/>
      <c r="U16" s="868"/>
      <c r="V16" s="868"/>
      <c r="W16" s="867"/>
      <c r="X16" s="867"/>
      <c r="Y16" s="867">
        <v>152</v>
      </c>
      <c r="Z16" s="867"/>
      <c r="AA16" s="869"/>
      <c r="AB16" s="868"/>
      <c r="AC16" s="871"/>
    </row>
    <row r="17" spans="2:29" ht="13.5">
      <c r="B17" s="1875"/>
      <c r="C17" s="1879"/>
      <c r="D17" s="1677"/>
      <c r="E17" s="1679"/>
      <c r="F17" s="1677"/>
      <c r="G17" s="1679"/>
      <c r="H17" s="1682"/>
      <c r="I17" s="1665"/>
      <c r="J17" s="1667"/>
      <c r="K17" s="1881"/>
      <c r="L17" s="1881">
        <v>1568</v>
      </c>
      <c r="M17" s="1881"/>
      <c r="N17" s="1881">
        <v>1568</v>
      </c>
      <c r="O17" s="1882"/>
      <c r="P17" s="1882"/>
      <c r="Q17" s="1883"/>
      <c r="R17" s="1883"/>
      <c r="S17" s="1883"/>
      <c r="T17" s="1884"/>
      <c r="U17" s="1884"/>
      <c r="V17" s="1884">
        <v>1568</v>
      </c>
      <c r="W17" s="1883"/>
      <c r="X17" s="1883"/>
      <c r="Y17" s="1883"/>
      <c r="Z17" s="1883"/>
      <c r="AA17" s="1885"/>
      <c r="AB17" s="1884"/>
      <c r="AC17" s="1886"/>
    </row>
    <row r="18" spans="2:29" ht="15" thickBot="1">
      <c r="B18" s="1877"/>
      <c r="C18" s="1887"/>
      <c r="D18" s="1525"/>
      <c r="E18" s="1680"/>
      <c r="F18" s="1525"/>
      <c r="G18" s="1680"/>
      <c r="H18" s="1683"/>
      <c r="I18" s="1695"/>
      <c r="J18" s="1667"/>
      <c r="K18" s="900"/>
      <c r="L18" s="900"/>
      <c r="M18" s="900">
        <v>666</v>
      </c>
      <c r="N18" s="900"/>
      <c r="O18" s="901"/>
      <c r="P18" s="901"/>
      <c r="Q18" s="875"/>
      <c r="R18" s="875"/>
      <c r="S18" s="875"/>
      <c r="T18" s="876"/>
      <c r="U18" s="876"/>
      <c r="V18" s="876"/>
      <c r="W18" s="875"/>
      <c r="X18" s="875"/>
      <c r="Y18" s="875"/>
      <c r="Z18" s="875"/>
      <c r="AA18" s="877"/>
      <c r="AB18" s="876"/>
      <c r="AC18" s="879"/>
    </row>
    <row r="19" spans="2:29" ht="13.5">
      <c r="B19" s="1875" t="s">
        <v>232</v>
      </c>
      <c r="C19" s="1879"/>
      <c r="D19" s="1677">
        <v>5</v>
      </c>
      <c r="E19" s="1679">
        <f>D19/$D$73</f>
        <v>0.005952380952380952</v>
      </c>
      <c r="F19" s="1677">
        <f>COUNTA(K19:AC21)-1</f>
        <v>0</v>
      </c>
      <c r="G19" s="1679">
        <f>F19/D19</f>
        <v>0</v>
      </c>
      <c r="H19" s="1682">
        <f>$K$5*COUNTA(K19:K21)+$L$5*COUNTA(L19:L21)+$N$5*COUNTA(N19:N21)+$O$5*COUNTA(O19:O21)+$Q$5*COUNTA(Q19:Q21)+$R$5*COUNTA(R19:R21)+$S$5*COUNTA(S19:S21)+$T$5*COUNTA(T19:T21)+$W$5*COUNTA(W19:W21)+$X$5*COUNTA(X19:X21)+$Z$5*COUNTA(Z19:Z21)+$AB$5*COUNTA(AB19:AB21)+$AC$5*COUNTA(AC19:AC21)+$M$5*COUNTA(M19:M21)+$U$5*COUNTA(U19:U21)+$P$5*COUNTA(P19:P21)+$V$5*COUNTA(V19:V21)+$AA$5*COUNTA(AA19:AA21)</f>
        <v>0</v>
      </c>
      <c r="I19" s="1665">
        <f>H19/H73</f>
        <v>0</v>
      </c>
      <c r="J19" s="1514" t="e">
        <f>H19/F19</f>
        <v>#DIV/0!</v>
      </c>
      <c r="K19" s="895"/>
      <c r="L19" s="895"/>
      <c r="M19" s="895"/>
      <c r="N19" s="895"/>
      <c r="O19" s="896"/>
      <c r="P19" s="896"/>
      <c r="Q19" s="867"/>
      <c r="R19" s="867"/>
      <c r="S19" s="867"/>
      <c r="T19" s="868"/>
      <c r="U19" s="868"/>
      <c r="V19" s="868"/>
      <c r="W19" s="867"/>
      <c r="X19" s="867"/>
      <c r="Y19" s="867">
        <v>717</v>
      </c>
      <c r="Z19" s="867"/>
      <c r="AA19" s="869"/>
      <c r="AB19" s="870"/>
      <c r="AC19" s="871"/>
    </row>
    <row r="20" spans="2:29" ht="13.5">
      <c r="B20" s="1875"/>
      <c r="C20" s="1879"/>
      <c r="D20" s="1677"/>
      <c r="E20" s="1679"/>
      <c r="F20" s="1677"/>
      <c r="G20" s="1679"/>
      <c r="H20" s="1682"/>
      <c r="I20" s="1665"/>
      <c r="J20" s="1667"/>
      <c r="K20" s="900"/>
      <c r="L20" s="900"/>
      <c r="M20" s="900"/>
      <c r="N20" s="900"/>
      <c r="O20" s="901"/>
      <c r="P20" s="901"/>
      <c r="Q20" s="875"/>
      <c r="R20" s="875"/>
      <c r="S20" s="875"/>
      <c r="T20" s="876"/>
      <c r="U20" s="876"/>
      <c r="V20" s="876"/>
      <c r="W20" s="875"/>
      <c r="X20" s="875"/>
      <c r="Y20" s="875"/>
      <c r="Z20" s="875"/>
      <c r="AA20" s="877"/>
      <c r="AB20" s="878"/>
      <c r="AC20" s="879"/>
    </row>
    <row r="21" spans="2:29" ht="15" thickBot="1">
      <c r="B21" s="1875"/>
      <c r="C21" s="1879"/>
      <c r="D21" s="1677"/>
      <c r="E21" s="1679"/>
      <c r="F21" s="1677"/>
      <c r="G21" s="1679"/>
      <c r="H21" s="1683"/>
      <c r="I21" s="1665"/>
      <c r="J21" s="1668"/>
      <c r="K21" s="927"/>
      <c r="L21" s="927"/>
      <c r="M21" s="927"/>
      <c r="N21" s="927"/>
      <c r="O21" s="889"/>
      <c r="P21" s="889"/>
      <c r="Q21" s="890"/>
      <c r="R21" s="890"/>
      <c r="S21" s="890"/>
      <c r="T21" s="891"/>
      <c r="U21" s="891"/>
      <c r="V21" s="891"/>
      <c r="W21" s="890"/>
      <c r="X21" s="890"/>
      <c r="Y21" s="890"/>
      <c r="Z21" s="890"/>
      <c r="AA21" s="892"/>
      <c r="AB21" s="893"/>
      <c r="AC21" s="894"/>
    </row>
    <row r="22" spans="2:29" ht="13.5">
      <c r="B22" s="1873" t="s">
        <v>233</v>
      </c>
      <c r="C22" s="1880"/>
      <c r="D22" s="1524">
        <v>48</v>
      </c>
      <c r="E22" s="1678">
        <f>D22/$D$73</f>
        <v>0.05714285714285714</v>
      </c>
      <c r="F22" s="1716">
        <f>COUNTA(K22:AC26)-1</f>
        <v>5</v>
      </c>
      <c r="G22" s="1678">
        <f>F22/D22</f>
        <v>0.10416666666666667</v>
      </c>
      <c r="H22" s="1681">
        <f>$K$5*COUNTA(K22:K26)+$L$5*COUNTA(L22:L26)+$N$5*COUNTA(N22:N26)+$O$5*COUNTA(O22:O26)+$Q$5*COUNTA(Q22:Q26)+$R$5*COUNTA(R22:R26)+$S$5*COUNTA(S22:S26)+$T$5*COUNTA(T22:T26)+$W$5*COUNTA(W22:W26)+$X$5*COUNTA(X22:X26)+$Z$5*COUNTA(Z22:Z26)+$AB$5*COUNTA(AB22:AB26)+$AC$5*COUNTA(AC22:AC26)+$M$5*COUNTA(M22:M26)+$U$5*COUNTA(U22:U26)+$P$5*COUNTA(P22:P26)+$V$5*COUNTA(V22:V26)+$AA$5*COUNTA(AA22:AA26)</f>
        <v>1655</v>
      </c>
      <c r="I22" s="1664">
        <f>H22/H73</f>
        <v>0.06385338799131901</v>
      </c>
      <c r="J22" s="1666">
        <f>H22/F22</f>
        <v>331</v>
      </c>
      <c r="K22" s="895"/>
      <c r="L22" s="895"/>
      <c r="M22" s="895"/>
      <c r="N22" s="895"/>
      <c r="O22" s="896"/>
      <c r="P22" s="896"/>
      <c r="Q22" s="867"/>
      <c r="R22" s="867"/>
      <c r="S22" s="867"/>
      <c r="T22" s="868"/>
      <c r="U22" s="868"/>
      <c r="V22" s="868">
        <v>14</v>
      </c>
      <c r="W22" s="867"/>
      <c r="X22" s="867"/>
      <c r="Y22" s="867"/>
      <c r="Z22" s="867"/>
      <c r="AA22" s="869"/>
      <c r="AB22" s="870"/>
      <c r="AC22" s="871"/>
    </row>
    <row r="23" spans="2:29" ht="13.5">
      <c r="B23" s="1875"/>
      <c r="C23" s="1879"/>
      <c r="D23" s="1677"/>
      <c r="E23" s="1679"/>
      <c r="F23" s="1717"/>
      <c r="G23" s="1679"/>
      <c r="H23" s="1682"/>
      <c r="I23" s="1665"/>
      <c r="J23" s="1667"/>
      <c r="K23" s="900"/>
      <c r="L23" s="900"/>
      <c r="M23" s="900"/>
      <c r="N23" s="900"/>
      <c r="O23" s="901"/>
      <c r="P23" s="901"/>
      <c r="Q23" s="875">
        <v>111</v>
      </c>
      <c r="R23" s="875"/>
      <c r="S23" s="875"/>
      <c r="T23" s="876"/>
      <c r="U23" s="876"/>
      <c r="V23" s="876">
        <v>111</v>
      </c>
      <c r="W23" s="875"/>
      <c r="X23" s="875"/>
      <c r="Y23" s="875"/>
      <c r="Z23" s="875"/>
      <c r="AA23" s="877"/>
      <c r="AB23" s="878"/>
      <c r="AC23" s="879"/>
    </row>
    <row r="24" spans="2:29" ht="13.5">
      <c r="B24" s="1875"/>
      <c r="C24" s="1879"/>
      <c r="D24" s="1677"/>
      <c r="E24" s="1679"/>
      <c r="F24" s="1717"/>
      <c r="G24" s="1679"/>
      <c r="H24" s="1682"/>
      <c r="I24" s="1665"/>
      <c r="J24" s="1667"/>
      <c r="K24" s="900"/>
      <c r="L24" s="900"/>
      <c r="M24" s="900"/>
      <c r="N24" s="900"/>
      <c r="O24" s="901"/>
      <c r="P24" s="901"/>
      <c r="Q24" s="875">
        <v>320</v>
      </c>
      <c r="R24" s="875"/>
      <c r="S24" s="875">
        <v>119</v>
      </c>
      <c r="T24" s="876"/>
      <c r="U24" s="876"/>
      <c r="V24" s="876"/>
      <c r="W24" s="875"/>
      <c r="X24" s="875"/>
      <c r="Y24" s="875"/>
      <c r="Z24" s="875"/>
      <c r="AA24" s="877"/>
      <c r="AB24" s="878"/>
      <c r="AC24" s="879"/>
    </row>
    <row r="25" spans="2:29" ht="13.5">
      <c r="B25" s="1875"/>
      <c r="C25" s="1879"/>
      <c r="D25" s="1677"/>
      <c r="E25" s="1679"/>
      <c r="F25" s="1717"/>
      <c r="G25" s="1679"/>
      <c r="H25" s="1682"/>
      <c r="I25" s="1665"/>
      <c r="J25" s="1667"/>
      <c r="K25" s="902"/>
      <c r="L25" s="902"/>
      <c r="M25" s="902"/>
      <c r="N25" s="902"/>
      <c r="O25" s="903"/>
      <c r="P25" s="903"/>
      <c r="Q25" s="883"/>
      <c r="R25" s="883"/>
      <c r="S25" s="883"/>
      <c r="T25" s="884"/>
      <c r="U25" s="884"/>
      <c r="V25" s="884"/>
      <c r="W25" s="883"/>
      <c r="X25" s="883"/>
      <c r="Y25" s="883"/>
      <c r="Z25" s="883"/>
      <c r="AA25" s="885"/>
      <c r="AB25" s="886"/>
      <c r="AC25" s="887"/>
    </row>
    <row r="26" spans="2:29" ht="15" thickBot="1">
      <c r="B26" s="1875"/>
      <c r="C26" s="1879"/>
      <c r="D26" s="1677"/>
      <c r="E26" s="1679"/>
      <c r="F26" s="1718"/>
      <c r="G26" s="1679"/>
      <c r="H26" s="1683"/>
      <c r="I26" s="1665"/>
      <c r="J26" s="1668"/>
      <c r="K26" s="888"/>
      <c r="L26" s="888"/>
      <c r="M26" s="888"/>
      <c r="N26" s="888"/>
      <c r="O26" s="889"/>
      <c r="P26" s="889"/>
      <c r="Q26" s="890"/>
      <c r="R26" s="890"/>
      <c r="S26" s="890"/>
      <c r="T26" s="891"/>
      <c r="U26" s="891"/>
      <c r="V26" s="891"/>
      <c r="W26" s="890"/>
      <c r="X26" s="890"/>
      <c r="Y26" s="890"/>
      <c r="Z26" s="890"/>
      <c r="AA26" s="892"/>
      <c r="AB26" s="893"/>
      <c r="AC26" s="894">
        <v>774</v>
      </c>
    </row>
    <row r="27" spans="2:29" ht="13.5">
      <c r="B27" s="1888" t="s">
        <v>234</v>
      </c>
      <c r="C27" s="1873"/>
      <c r="D27" s="1524">
        <v>103</v>
      </c>
      <c r="E27" s="1678">
        <f>D27/$D$73</f>
        <v>0.12261904761904761</v>
      </c>
      <c r="F27" s="1524">
        <f>COUNTA(K27:AC32)-3</f>
        <v>7</v>
      </c>
      <c r="G27" s="1678">
        <f>F27/D27</f>
        <v>0.06796116504854369</v>
      </c>
      <c r="H27" s="1681">
        <f>$K$5*COUNTA(K27:K32)+$L$5*COUNTA(L27:L32)+$M$5*COUNTA(M27:M32)+$N$5*COUNTA(N27:N32)+$O$5*COUNTA(O27:O32)+$Q$5*COUNTA(Q27:Q32)+$R$5*COUNTA(R27:R32)+$S$5*COUNTA(S27:S32)+$T$5*COUNTA(T27:T32)+$U$5*COUNTA(U27:U32)+$W$5*COUNTA(W27:W32)+$X$5*COUNTA(X27:Y32)+$Z$5*COUNTA(Z27:Z32)+$AB$5*COUNTA(AB27:AB32)+$AC$5*COUNTA(AC27:AC32)+$P$5*COUNTA(P27:P32)+$V$5*COUNTA(V27:V32)+$AA$5*COUNTA(AA27:AA32)</f>
        <v>2263.9</v>
      </c>
      <c r="I27" s="1664">
        <f>H27/H73</f>
        <v>0.08734603327706775</v>
      </c>
      <c r="J27" s="1666">
        <f>H27/F27</f>
        <v>323.4142857142857</v>
      </c>
      <c r="K27" s="895"/>
      <c r="L27" s="895"/>
      <c r="M27" s="895"/>
      <c r="N27" s="895"/>
      <c r="O27" s="925"/>
      <c r="P27" s="925"/>
      <c r="Q27" s="867">
        <v>568</v>
      </c>
      <c r="R27" s="867"/>
      <c r="S27" s="867"/>
      <c r="T27" s="868"/>
      <c r="U27" s="868"/>
      <c r="V27" s="868"/>
      <c r="W27" s="867"/>
      <c r="X27" s="867"/>
      <c r="Y27" s="867"/>
      <c r="Z27" s="867"/>
      <c r="AA27" s="869"/>
      <c r="AB27" s="870"/>
      <c r="AC27" s="871"/>
    </row>
    <row r="28" spans="2:29" ht="13.5">
      <c r="B28" s="1889"/>
      <c r="C28" s="1875"/>
      <c r="D28" s="1677"/>
      <c r="E28" s="1679"/>
      <c r="F28" s="1677"/>
      <c r="G28" s="1679"/>
      <c r="H28" s="1682"/>
      <c r="I28" s="1665"/>
      <c r="J28" s="1667"/>
      <c r="K28" s="1881"/>
      <c r="L28" s="1881"/>
      <c r="M28" s="1881"/>
      <c r="N28" s="1881"/>
      <c r="O28" s="1890"/>
      <c r="P28" s="1890"/>
      <c r="Q28" s="1883">
        <v>210</v>
      </c>
      <c r="R28" s="1883"/>
      <c r="S28" s="1883"/>
      <c r="T28" s="1884"/>
      <c r="U28" s="1884"/>
      <c r="V28" s="1884"/>
      <c r="W28" s="1883"/>
      <c r="X28" s="1883"/>
      <c r="Y28" s="1883"/>
      <c r="Z28" s="1883"/>
      <c r="AA28" s="1885"/>
      <c r="AB28" s="1891"/>
      <c r="AC28" s="1886"/>
    </row>
    <row r="29" spans="2:29" ht="13.5">
      <c r="B29" s="1889"/>
      <c r="C29" s="1875"/>
      <c r="D29" s="1677"/>
      <c r="E29" s="1679"/>
      <c r="F29" s="1677"/>
      <c r="G29" s="1679"/>
      <c r="H29" s="1682"/>
      <c r="I29" s="1665"/>
      <c r="J29" s="1667"/>
      <c r="K29" s="900"/>
      <c r="L29" s="900"/>
      <c r="M29" s="900">
        <v>736</v>
      </c>
      <c r="N29" s="900"/>
      <c r="O29" s="901"/>
      <c r="P29" s="901"/>
      <c r="Q29" s="875"/>
      <c r="R29" s="875"/>
      <c r="S29" s="875"/>
      <c r="T29" s="876"/>
      <c r="U29" s="876"/>
      <c r="V29" s="876"/>
      <c r="W29" s="875"/>
      <c r="X29" s="875"/>
      <c r="Y29" s="875"/>
      <c r="Z29" s="875"/>
      <c r="AA29" s="877"/>
      <c r="AB29" s="878"/>
      <c r="AC29" s="879"/>
    </row>
    <row r="30" spans="2:29" ht="13.5">
      <c r="B30" s="1889"/>
      <c r="C30" s="1875"/>
      <c r="D30" s="1677"/>
      <c r="E30" s="1679"/>
      <c r="F30" s="1677"/>
      <c r="G30" s="1679"/>
      <c r="H30" s="1682"/>
      <c r="I30" s="1665"/>
      <c r="J30" s="1667"/>
      <c r="K30" s="902"/>
      <c r="L30" s="902">
        <v>564</v>
      </c>
      <c r="M30" s="902"/>
      <c r="N30" s="902">
        <v>564</v>
      </c>
      <c r="O30" s="903"/>
      <c r="P30" s="903"/>
      <c r="Q30" s="883"/>
      <c r="R30" s="883"/>
      <c r="S30" s="883"/>
      <c r="T30" s="884"/>
      <c r="U30" s="884"/>
      <c r="V30" s="884"/>
      <c r="W30" s="883"/>
      <c r="X30" s="883"/>
      <c r="Y30" s="883"/>
      <c r="Z30" s="883"/>
      <c r="AA30" s="885"/>
      <c r="AB30" s="886"/>
      <c r="AC30" s="887"/>
    </row>
    <row r="31" spans="2:29" ht="13.5">
      <c r="B31" s="1889"/>
      <c r="C31" s="1875"/>
      <c r="D31" s="1677"/>
      <c r="E31" s="1679"/>
      <c r="F31" s="1677"/>
      <c r="G31" s="1679"/>
      <c r="H31" s="1682"/>
      <c r="I31" s="1665"/>
      <c r="J31" s="1667"/>
      <c r="K31" s="902"/>
      <c r="L31" s="902"/>
      <c r="M31" s="902">
        <v>510</v>
      </c>
      <c r="N31" s="902">
        <v>510</v>
      </c>
      <c r="O31" s="903"/>
      <c r="P31" s="903"/>
      <c r="Q31" s="883"/>
      <c r="R31" s="883"/>
      <c r="S31" s="883"/>
      <c r="T31" s="884"/>
      <c r="U31" s="884"/>
      <c r="V31" s="884"/>
      <c r="W31" s="883"/>
      <c r="X31" s="883"/>
      <c r="Y31" s="883"/>
      <c r="Z31" s="883"/>
      <c r="AA31" s="885"/>
      <c r="AB31" s="886"/>
      <c r="AC31" s="887"/>
    </row>
    <row r="32" spans="2:29" ht="15" thickBot="1">
      <c r="B32" s="1889"/>
      <c r="C32" s="1875"/>
      <c r="D32" s="1677"/>
      <c r="E32" s="1679"/>
      <c r="F32" s="1677"/>
      <c r="G32" s="1679"/>
      <c r="H32" s="1682"/>
      <c r="I32" s="1665"/>
      <c r="J32" s="1667"/>
      <c r="K32" s="902"/>
      <c r="L32" s="902"/>
      <c r="M32" s="888">
        <v>42</v>
      </c>
      <c r="N32" s="902">
        <v>42</v>
      </c>
      <c r="O32" s="903"/>
      <c r="P32" s="903"/>
      <c r="Q32" s="883">
        <v>236</v>
      </c>
      <c r="R32" s="883"/>
      <c r="S32" s="883"/>
      <c r="T32" s="884"/>
      <c r="U32" s="884"/>
      <c r="V32" s="884"/>
      <c r="W32" s="883"/>
      <c r="X32" s="883"/>
      <c r="Y32" s="883"/>
      <c r="Z32" s="883"/>
      <c r="AA32" s="885"/>
      <c r="AB32" s="886"/>
      <c r="AC32" s="887"/>
    </row>
    <row r="33" spans="2:29" ht="13.5">
      <c r="B33" s="1892" t="s">
        <v>237</v>
      </c>
      <c r="C33" s="1893"/>
      <c r="D33" s="1524">
        <v>70</v>
      </c>
      <c r="E33" s="1678">
        <f>D33/$D$73</f>
        <v>0.08333333333333333</v>
      </c>
      <c r="F33" s="1524">
        <f>COUNTA(K33:AC38)</f>
        <v>8</v>
      </c>
      <c r="G33" s="1678">
        <f>F33/D33</f>
        <v>0.11428571428571428</v>
      </c>
      <c r="H33" s="1681">
        <f>$K$5*COUNTA(K33:K38)+$L$5*COUNTA(L33:L38)+$M$5*COUNTA(M33:M38)+$N$5*COUNTA(N33:N38)+$O$5*COUNTA(O33:O38)+$Q$5*COUNTA(Q33:Q38)+$R$5*COUNTA(R33:R38)+$S$5*COUNTA(S33:S38)+$T$5*COUNTA(T33:T38)+$U$5*COUNTA(U33:U38)+$W$5*COUNTA(W33:W38)+$X$5*COUNTA(X33:X38)+$Z$5*COUNTA(Z33:Z38)+$AB$5*COUNTA(AB33:AB38)+$AC$5*COUNTA(AC33:AC38)+$P$5*COUNTA(P33:P38)+$V$5*COUNTA(V33:V38)+$AA$5*COUNTA(AA33:AA38)</f>
        <v>1826.9</v>
      </c>
      <c r="I33" s="1664">
        <f>H33/H73</f>
        <v>0.07048565227875572</v>
      </c>
      <c r="J33" s="1666">
        <f>H33/F33</f>
        <v>228.3625</v>
      </c>
      <c r="K33" s="895"/>
      <c r="L33" s="895"/>
      <c r="M33" s="1894"/>
      <c r="N33" s="895"/>
      <c r="O33" s="896"/>
      <c r="P33" s="896"/>
      <c r="Q33" s="867">
        <v>41</v>
      </c>
      <c r="R33" s="867"/>
      <c r="S33" s="867"/>
      <c r="T33" s="868"/>
      <c r="U33" s="868"/>
      <c r="V33" s="868"/>
      <c r="W33" s="867"/>
      <c r="X33" s="867"/>
      <c r="Y33" s="867"/>
      <c r="Z33" s="867"/>
      <c r="AA33" s="869"/>
      <c r="AB33" s="870"/>
      <c r="AC33" s="871"/>
    </row>
    <row r="34" spans="2:29" ht="13.5">
      <c r="B34" s="1895"/>
      <c r="C34" s="1896"/>
      <c r="D34" s="1677"/>
      <c r="E34" s="1679"/>
      <c r="F34" s="1677"/>
      <c r="G34" s="1679"/>
      <c r="H34" s="1682"/>
      <c r="I34" s="1665"/>
      <c r="J34" s="1667"/>
      <c r="K34" s="900"/>
      <c r="L34" s="900"/>
      <c r="M34" s="900"/>
      <c r="N34" s="900"/>
      <c r="O34" s="903"/>
      <c r="P34" s="903"/>
      <c r="Q34" s="875"/>
      <c r="R34" s="875"/>
      <c r="S34" s="875">
        <v>652</v>
      </c>
      <c r="T34" s="876"/>
      <c r="U34" s="876"/>
      <c r="V34" s="876">
        <v>108</v>
      </c>
      <c r="W34" s="875"/>
      <c r="X34" s="875"/>
      <c r="Y34" s="875"/>
      <c r="Z34" s="875"/>
      <c r="AA34" s="877"/>
      <c r="AB34" s="878"/>
      <c r="AC34" s="879"/>
    </row>
    <row r="35" spans="2:29" ht="13.5">
      <c r="B35" s="1895"/>
      <c r="C35" s="1896"/>
      <c r="D35" s="1677"/>
      <c r="E35" s="1679"/>
      <c r="F35" s="1677"/>
      <c r="G35" s="1679"/>
      <c r="H35" s="1682"/>
      <c r="I35" s="1665"/>
      <c r="J35" s="1667"/>
      <c r="K35" s="902"/>
      <c r="L35" s="902"/>
      <c r="M35" s="902"/>
      <c r="N35" s="902"/>
      <c r="O35" s="903"/>
      <c r="P35" s="903"/>
      <c r="Q35" s="883"/>
      <c r="R35" s="883"/>
      <c r="S35" s="883"/>
      <c r="T35" s="884">
        <v>835</v>
      </c>
      <c r="U35" s="884"/>
      <c r="V35" s="884"/>
      <c r="W35" s="883"/>
      <c r="X35" s="883"/>
      <c r="Y35" s="883"/>
      <c r="Z35" s="883"/>
      <c r="AA35" s="885"/>
      <c r="AB35" s="886"/>
      <c r="AC35" s="887"/>
    </row>
    <row r="36" spans="2:29" ht="13.5">
      <c r="B36" s="1895"/>
      <c r="C36" s="1896"/>
      <c r="D36" s="1677"/>
      <c r="E36" s="1679"/>
      <c r="F36" s="1677"/>
      <c r="G36" s="1679"/>
      <c r="H36" s="1682"/>
      <c r="I36" s="1665"/>
      <c r="J36" s="1667"/>
      <c r="K36" s="902"/>
      <c r="L36" s="902"/>
      <c r="M36" s="902"/>
      <c r="N36" s="902"/>
      <c r="O36" s="903"/>
      <c r="P36" s="903"/>
      <c r="Q36" s="883"/>
      <c r="R36" s="883"/>
      <c r="S36" s="883"/>
      <c r="T36" s="884"/>
      <c r="U36" s="884"/>
      <c r="V36" s="884">
        <v>746</v>
      </c>
      <c r="W36" s="883"/>
      <c r="X36" s="883"/>
      <c r="Y36" s="883"/>
      <c r="Z36" s="883"/>
      <c r="AA36" s="885">
        <v>1551</v>
      </c>
      <c r="AB36" s="886">
        <v>1557</v>
      </c>
      <c r="AC36" s="887"/>
    </row>
    <row r="37" spans="2:29" ht="13.5">
      <c r="B37" s="1895"/>
      <c r="C37" s="1896"/>
      <c r="D37" s="1677"/>
      <c r="E37" s="1679"/>
      <c r="F37" s="1677"/>
      <c r="G37" s="1679"/>
      <c r="H37" s="1682"/>
      <c r="I37" s="1665"/>
      <c r="J37" s="1667"/>
      <c r="K37" s="902"/>
      <c r="L37" s="902"/>
      <c r="M37" s="902"/>
      <c r="N37" s="902"/>
      <c r="O37" s="903"/>
      <c r="P37" s="903"/>
      <c r="Q37" s="883"/>
      <c r="R37" s="883"/>
      <c r="S37" s="883"/>
      <c r="T37" s="884"/>
      <c r="U37" s="884"/>
      <c r="V37" s="884"/>
      <c r="W37" s="883">
        <v>839</v>
      </c>
      <c r="X37" s="883"/>
      <c r="Y37" s="883"/>
      <c r="Z37" s="883"/>
      <c r="AA37" s="885"/>
      <c r="AB37" s="886"/>
      <c r="AC37" s="887"/>
    </row>
    <row r="38" spans="2:29" ht="15" thickBot="1">
      <c r="B38" s="1895"/>
      <c r="C38" s="1896"/>
      <c r="D38" s="1677"/>
      <c r="E38" s="1679"/>
      <c r="F38" s="1677"/>
      <c r="G38" s="1679"/>
      <c r="H38" s="1682"/>
      <c r="I38" s="1665"/>
      <c r="J38" s="1667"/>
      <c r="K38" s="902"/>
      <c r="L38" s="902"/>
      <c r="M38" s="902"/>
      <c r="N38" s="902"/>
      <c r="O38" s="903"/>
      <c r="P38" s="903"/>
      <c r="Q38" s="883"/>
      <c r="R38" s="883"/>
      <c r="S38" s="883"/>
      <c r="T38" s="884"/>
      <c r="U38" s="884"/>
      <c r="V38" s="884"/>
      <c r="W38" s="883"/>
      <c r="X38" s="883"/>
      <c r="Y38" s="883"/>
      <c r="Z38" s="883"/>
      <c r="AA38" s="885"/>
      <c r="AB38" s="886"/>
      <c r="AC38" s="887"/>
    </row>
    <row r="39" spans="2:29" ht="13.5">
      <c r="B39" s="1873" t="s">
        <v>238</v>
      </c>
      <c r="C39" s="1880"/>
      <c r="D39" s="1524">
        <v>78</v>
      </c>
      <c r="E39" s="1678">
        <f>D39/$D$73</f>
        <v>0.09285714285714286</v>
      </c>
      <c r="F39" s="1524">
        <f>COUNTA(K39:AC44)-5</f>
        <v>7</v>
      </c>
      <c r="G39" s="1678">
        <f>F39/D39</f>
        <v>0.08974358974358974</v>
      </c>
      <c r="H39" s="1681">
        <f>$K$5*COUNTA(K39:K44)+$L$5*COUNTA(L39:L44)+$N$5*COUNTA(N39:N44)+$O$5*COUNTA(O39:O44)+$Q$5*COUNTA(Q39:Q44)+$R$5*COUNTA(R39:R44)+$S$5*COUNTA(S39:S44)+$T$5*COUNTA(T39:T44)+$W$5*COUNTA(W39:W44)+$X$5*COUNTA(X39:X44)+$Z$5*COUNTA(Z39:Z44)+$AB$5*COUNTA(AB39:AB44)+$AC$5*COUNTA(AC39:AC44)+$M$5*COUNTA(M39:M44)+$U$5*COUNTA(U39:U44)+$P$5*COUNTA(P39:P44)+$V$5*COUNTA(V39:V44)+$AA$5*COUNTA(AA39:AA44)</f>
        <v>3172.6</v>
      </c>
      <c r="I39" s="1664">
        <f>H39/H73</f>
        <v>0.12240559440559438</v>
      </c>
      <c r="J39" s="1666">
        <f>H39/F39</f>
        <v>453.2285714285714</v>
      </c>
      <c r="K39" s="895"/>
      <c r="L39" s="895"/>
      <c r="M39" s="895"/>
      <c r="N39" s="895"/>
      <c r="O39" s="896"/>
      <c r="P39" s="896"/>
      <c r="Q39" s="867">
        <v>414</v>
      </c>
      <c r="R39" s="867"/>
      <c r="S39" s="867"/>
      <c r="T39" s="868"/>
      <c r="U39" s="868"/>
      <c r="V39" s="868"/>
      <c r="W39" s="867"/>
      <c r="X39" s="867"/>
      <c r="Y39" s="867"/>
      <c r="Z39" s="867"/>
      <c r="AA39" s="869"/>
      <c r="AB39" s="870"/>
      <c r="AC39" s="871"/>
    </row>
    <row r="40" spans="2:29" ht="13.5">
      <c r="B40" s="1875"/>
      <c r="C40" s="1879"/>
      <c r="D40" s="1677"/>
      <c r="E40" s="1679"/>
      <c r="F40" s="1677"/>
      <c r="G40" s="1679"/>
      <c r="H40" s="1682"/>
      <c r="I40" s="1665"/>
      <c r="J40" s="1667"/>
      <c r="K40" s="900"/>
      <c r="L40" s="900">
        <v>352</v>
      </c>
      <c r="M40" s="900"/>
      <c r="N40" s="900">
        <v>352</v>
      </c>
      <c r="O40" s="901"/>
      <c r="P40" s="901"/>
      <c r="Q40" s="875"/>
      <c r="R40" s="875"/>
      <c r="S40" s="875"/>
      <c r="T40" s="876"/>
      <c r="U40" s="876"/>
      <c r="V40" s="876">
        <v>352</v>
      </c>
      <c r="W40" s="875"/>
      <c r="X40" s="875"/>
      <c r="Y40" s="875"/>
      <c r="Z40" s="875"/>
      <c r="AA40" s="877"/>
      <c r="AB40" s="878"/>
      <c r="AC40" s="879"/>
    </row>
    <row r="41" spans="2:29" ht="13.5">
      <c r="B41" s="1875"/>
      <c r="C41" s="1879"/>
      <c r="D41" s="1677"/>
      <c r="E41" s="1679"/>
      <c r="F41" s="1677"/>
      <c r="G41" s="1679"/>
      <c r="H41" s="1682"/>
      <c r="I41" s="1665"/>
      <c r="J41" s="1667"/>
      <c r="K41" s="902"/>
      <c r="L41" s="902"/>
      <c r="M41" s="902">
        <v>672</v>
      </c>
      <c r="N41" s="902"/>
      <c r="O41" s="903"/>
      <c r="P41" s="903"/>
      <c r="Q41" s="883">
        <v>512</v>
      </c>
      <c r="R41" s="883"/>
      <c r="S41" s="883"/>
      <c r="T41" s="884"/>
      <c r="U41" s="884"/>
      <c r="V41" s="884">
        <v>672</v>
      </c>
      <c r="W41" s="883"/>
      <c r="X41" s="883"/>
      <c r="Y41" s="883"/>
      <c r="Z41" s="883"/>
      <c r="AA41" s="885"/>
      <c r="AB41" s="886"/>
      <c r="AC41" s="887"/>
    </row>
    <row r="42" spans="2:29" ht="13.5">
      <c r="B42" s="1875"/>
      <c r="C42" s="1879"/>
      <c r="D42" s="1677"/>
      <c r="E42" s="1679"/>
      <c r="F42" s="1677"/>
      <c r="G42" s="1679"/>
      <c r="H42" s="1682"/>
      <c r="I42" s="1665"/>
      <c r="J42" s="1667"/>
      <c r="K42" s="902"/>
      <c r="L42" s="902"/>
      <c r="M42" s="902"/>
      <c r="N42" s="902"/>
      <c r="O42" s="903"/>
      <c r="P42" s="903"/>
      <c r="Q42" s="883"/>
      <c r="R42" s="883"/>
      <c r="S42" s="883">
        <v>734</v>
      </c>
      <c r="T42" s="884"/>
      <c r="U42" s="884"/>
      <c r="V42" s="884"/>
      <c r="W42" s="883"/>
      <c r="X42" s="883"/>
      <c r="Y42" s="883"/>
      <c r="Z42" s="883"/>
      <c r="AA42" s="885"/>
      <c r="AB42" s="886"/>
      <c r="AC42" s="887"/>
    </row>
    <row r="43" spans="2:29" ht="13.5">
      <c r="B43" s="1875"/>
      <c r="C43" s="1879"/>
      <c r="D43" s="1677"/>
      <c r="E43" s="1679"/>
      <c r="F43" s="1677"/>
      <c r="G43" s="1679"/>
      <c r="H43" s="1682"/>
      <c r="I43" s="1665"/>
      <c r="J43" s="1667"/>
      <c r="K43" s="902"/>
      <c r="L43" s="902"/>
      <c r="M43" s="902"/>
      <c r="N43" s="902"/>
      <c r="O43" s="903"/>
      <c r="P43" s="903"/>
      <c r="Q43" s="883"/>
      <c r="R43" s="883"/>
      <c r="S43" s="883"/>
      <c r="T43" s="884"/>
      <c r="U43" s="884"/>
      <c r="V43" s="884"/>
      <c r="W43" s="883"/>
      <c r="X43" s="883">
        <v>630</v>
      </c>
      <c r="Y43" s="883"/>
      <c r="Z43" s="883"/>
      <c r="AA43" s="885"/>
      <c r="AB43" s="886"/>
      <c r="AC43" s="887"/>
    </row>
    <row r="44" spans="2:29" ht="15" thickBot="1">
      <c r="B44" s="1875"/>
      <c r="C44" s="1879"/>
      <c r="D44" s="1677"/>
      <c r="E44" s="1679"/>
      <c r="F44" s="1677"/>
      <c r="G44" s="1679"/>
      <c r="H44" s="1682"/>
      <c r="I44" s="1665"/>
      <c r="J44" s="1667"/>
      <c r="K44" s="902"/>
      <c r="L44" s="902"/>
      <c r="M44" s="902">
        <v>599</v>
      </c>
      <c r="N44" s="902">
        <v>599</v>
      </c>
      <c r="O44" s="903"/>
      <c r="P44" s="903"/>
      <c r="Q44" s="883"/>
      <c r="R44" s="883"/>
      <c r="S44" s="883"/>
      <c r="T44" s="884"/>
      <c r="U44" s="884"/>
      <c r="V44" s="884">
        <v>599</v>
      </c>
      <c r="W44" s="883"/>
      <c r="X44" s="883"/>
      <c r="Y44" s="883"/>
      <c r="Z44" s="883"/>
      <c r="AA44" s="885"/>
      <c r="AB44" s="886"/>
      <c r="AC44" s="887"/>
    </row>
    <row r="45" spans="2:29" ht="13.5">
      <c r="B45" s="1897" t="s">
        <v>239</v>
      </c>
      <c r="C45" s="1898"/>
      <c r="D45" s="1733">
        <v>112</v>
      </c>
      <c r="E45" s="1734">
        <f>D45/$D$73</f>
        <v>0.13333333333333333</v>
      </c>
      <c r="F45" s="1524">
        <f>COUNTA(K45:AC51)-1</f>
        <v>11</v>
      </c>
      <c r="G45" s="1678">
        <f>F45/D45</f>
        <v>0.09821428571428571</v>
      </c>
      <c r="H45" s="1681">
        <f>$K$5*COUNTA(K45:K51)+$L$5*COUNTA(L45:L51)+$N$5*COUNTA(N45:N51)+$O$5*COUNTA(O45:O51)+$Q$5*COUNTA(Q45:Q51)+$R$5*COUNTA(R45:R51)+$S$5*COUNTA(S45:S51)+$T$5*COUNTA(T45:T51)+$W$5*COUNTA(W45:W51)+$X$5*COUNTA(X45:X51)+$Z$5*COUNTA(Z45:Z51)+$AB$5*COUNTA(AB45:AB51)+$AC$5*COUNTA(AC45:AC51)+$M$5*COUNTA(M45:M51)+$U$5*COUNTA(U45:U51)+$P$5*COUNTA(P45:P51)+$V$5*COUNTA(V45:V51)+$AA$5*COUNTA(AA45:AA51)</f>
        <v>2937.9</v>
      </c>
      <c r="I45" s="1664">
        <f>H45/H73</f>
        <v>0.11335037376416686</v>
      </c>
      <c r="J45" s="1666">
        <f>H45/F45</f>
        <v>267.08181818181816</v>
      </c>
      <c r="K45" s="895"/>
      <c r="L45" s="895"/>
      <c r="M45" s="895"/>
      <c r="N45" s="895"/>
      <c r="O45" s="896"/>
      <c r="P45" s="896"/>
      <c r="Q45" s="867"/>
      <c r="R45" s="867"/>
      <c r="S45" s="867"/>
      <c r="T45" s="868"/>
      <c r="U45" s="868"/>
      <c r="V45" s="868">
        <v>1717</v>
      </c>
      <c r="W45" s="867"/>
      <c r="X45" s="867"/>
      <c r="Y45" s="867"/>
      <c r="Z45" s="867"/>
      <c r="AA45" s="869"/>
      <c r="AB45" s="870"/>
      <c r="AC45" s="871"/>
    </row>
    <row r="46" spans="2:29" ht="13.5">
      <c r="B46" s="1899"/>
      <c r="C46" s="1900"/>
      <c r="D46" s="1691"/>
      <c r="E46" s="1693"/>
      <c r="F46" s="1677"/>
      <c r="G46" s="1679"/>
      <c r="H46" s="1682"/>
      <c r="I46" s="1665"/>
      <c r="J46" s="1667"/>
      <c r="K46" s="900"/>
      <c r="L46" s="900"/>
      <c r="M46" s="900"/>
      <c r="N46" s="900"/>
      <c r="O46" s="901"/>
      <c r="P46" s="901"/>
      <c r="Q46" s="883">
        <v>146</v>
      </c>
      <c r="R46" s="875"/>
      <c r="S46" s="875"/>
      <c r="T46" s="876"/>
      <c r="U46" s="876"/>
      <c r="V46" s="876"/>
      <c r="W46" s="875"/>
      <c r="X46" s="875"/>
      <c r="Y46" s="875"/>
      <c r="Z46" s="875"/>
      <c r="AA46" s="877"/>
      <c r="AB46" s="878"/>
      <c r="AC46" s="879"/>
    </row>
    <row r="47" spans="2:29" ht="13.5">
      <c r="B47" s="1899"/>
      <c r="C47" s="1900"/>
      <c r="D47" s="1691"/>
      <c r="E47" s="1693"/>
      <c r="F47" s="1677"/>
      <c r="G47" s="1679"/>
      <c r="H47" s="1682"/>
      <c r="I47" s="1665"/>
      <c r="J47" s="1667"/>
      <c r="K47" s="902"/>
      <c r="L47" s="902"/>
      <c r="M47" s="902"/>
      <c r="N47" s="902"/>
      <c r="O47" s="903"/>
      <c r="P47" s="903"/>
      <c r="Q47" s="883"/>
      <c r="R47" s="883"/>
      <c r="S47" s="883"/>
      <c r="T47" s="884">
        <v>654</v>
      </c>
      <c r="U47" s="884"/>
      <c r="V47" s="884"/>
      <c r="W47" s="883"/>
      <c r="X47" s="883"/>
      <c r="Y47" s="883"/>
      <c r="Z47" s="883"/>
      <c r="AA47" s="885"/>
      <c r="AB47" s="886"/>
      <c r="AC47" s="887">
        <v>77</v>
      </c>
    </row>
    <row r="48" spans="2:29" ht="13.5">
      <c r="B48" s="1899"/>
      <c r="C48" s="1900"/>
      <c r="D48" s="1691"/>
      <c r="E48" s="1693"/>
      <c r="F48" s="1677"/>
      <c r="G48" s="1679"/>
      <c r="H48" s="1682"/>
      <c r="I48" s="1665"/>
      <c r="J48" s="1667"/>
      <c r="K48" s="902">
        <v>625</v>
      </c>
      <c r="L48" s="902"/>
      <c r="M48" s="902"/>
      <c r="N48" s="902"/>
      <c r="O48" s="903"/>
      <c r="P48" s="903"/>
      <c r="Q48" s="883"/>
      <c r="R48" s="883"/>
      <c r="S48" s="883"/>
      <c r="T48" s="884"/>
      <c r="U48" s="884"/>
      <c r="V48" s="884">
        <v>382</v>
      </c>
      <c r="W48" s="883"/>
      <c r="X48" s="883"/>
      <c r="Y48" s="883"/>
      <c r="Z48" s="883"/>
      <c r="AA48" s="885"/>
      <c r="AB48" s="886"/>
      <c r="AC48" s="887">
        <v>257</v>
      </c>
    </row>
    <row r="49" spans="2:29" ht="13.5">
      <c r="B49" s="1899"/>
      <c r="C49" s="1900"/>
      <c r="D49" s="1691"/>
      <c r="E49" s="1693"/>
      <c r="F49" s="1677"/>
      <c r="G49" s="1679"/>
      <c r="H49" s="1682"/>
      <c r="I49" s="1665"/>
      <c r="J49" s="1667"/>
      <c r="K49" s="902"/>
      <c r="L49" s="902">
        <v>819</v>
      </c>
      <c r="M49" s="902">
        <v>1652</v>
      </c>
      <c r="N49" s="902"/>
      <c r="O49" s="903"/>
      <c r="P49" s="903"/>
      <c r="Q49" s="883"/>
      <c r="R49" s="883"/>
      <c r="S49" s="883"/>
      <c r="T49" s="884"/>
      <c r="U49" s="884"/>
      <c r="V49" s="884"/>
      <c r="W49" s="883"/>
      <c r="X49" s="883"/>
      <c r="Y49" s="883"/>
      <c r="Z49" s="883"/>
      <c r="AA49" s="885"/>
      <c r="AB49" s="886"/>
      <c r="AC49" s="887"/>
    </row>
    <row r="50" spans="2:29" ht="13.5">
      <c r="B50" s="1899"/>
      <c r="C50" s="1900"/>
      <c r="D50" s="1691"/>
      <c r="E50" s="1693"/>
      <c r="F50" s="1677"/>
      <c r="G50" s="1679"/>
      <c r="H50" s="1682"/>
      <c r="I50" s="1665"/>
      <c r="J50" s="1667"/>
      <c r="K50" s="902"/>
      <c r="L50" s="902"/>
      <c r="M50" s="902">
        <v>1717</v>
      </c>
      <c r="N50" s="902"/>
      <c r="O50" s="903"/>
      <c r="P50" s="903"/>
      <c r="Q50" s="883"/>
      <c r="R50" s="883"/>
      <c r="S50" s="883"/>
      <c r="T50" s="884"/>
      <c r="U50" s="884"/>
      <c r="V50" s="884">
        <v>336</v>
      </c>
      <c r="W50" s="883"/>
      <c r="X50" s="883"/>
      <c r="Y50" s="883"/>
      <c r="Z50" s="883"/>
      <c r="AA50" s="885"/>
      <c r="AB50" s="886"/>
      <c r="AC50" s="887"/>
    </row>
    <row r="51" spans="2:29" ht="15" thickBot="1">
      <c r="B51" s="1899"/>
      <c r="C51" s="1900"/>
      <c r="D51" s="1691"/>
      <c r="E51" s="1693"/>
      <c r="F51" s="1677"/>
      <c r="G51" s="1679"/>
      <c r="H51" s="1682"/>
      <c r="I51" s="1665"/>
      <c r="J51" s="1667"/>
      <c r="K51" s="902"/>
      <c r="L51" s="902"/>
      <c r="M51" s="902"/>
      <c r="N51" s="902"/>
      <c r="O51" s="903"/>
      <c r="P51" s="903"/>
      <c r="Q51" s="883">
        <v>563</v>
      </c>
      <c r="R51" s="883"/>
      <c r="S51" s="883"/>
      <c r="T51" s="884"/>
      <c r="U51" s="884"/>
      <c r="V51" s="884"/>
      <c r="W51" s="883"/>
      <c r="X51" s="883"/>
      <c r="Y51" s="883"/>
      <c r="Z51" s="883"/>
      <c r="AA51" s="885"/>
      <c r="AB51" s="886"/>
      <c r="AC51" s="887"/>
    </row>
    <row r="52" spans="2:29" ht="13.5">
      <c r="B52" s="1873" t="s">
        <v>240</v>
      </c>
      <c r="C52" s="1880"/>
      <c r="D52" s="1524">
        <v>43</v>
      </c>
      <c r="E52" s="1678">
        <f>D52/$D$73</f>
        <v>0.05119047619047619</v>
      </c>
      <c r="F52" s="1524">
        <f>COUNTA(K52:AC57)-6</f>
        <v>4</v>
      </c>
      <c r="G52" s="1678">
        <f>F52/D52</f>
        <v>0.09302325581395349</v>
      </c>
      <c r="H52" s="1681">
        <f>$K$5*COUNTA(K52:K57)+$L$5*COUNTA(L52:L57)+$N$5*COUNTA(N52:N57)+$O$5*COUNTA(O52:O57)+$Q$5*COUNTA(Q52:Q57)+$R$5*COUNTA(R52:R57)+$S$5*COUNTA(S52:S57)+$T$5*COUNTA(T52:T57)+$W$5*COUNTA(W52:W57)+$X$5*COUNTA(X52:X57)+$Z$5*COUNTA(Z52:Z57)+$AB$5*COUNTA(AB52:AB57)+$AC$5*COUNTA(AC52:AC57)+$M$5*COUNTA(M52:M57)+$U$5*COUNTA(U52:U57)+$P$5*COUNTA(P52:P57)+$V$5*COUNTA(V52:V57)+$AA$5*COUNTA(AA52:AA57)</f>
        <v>2318.7</v>
      </c>
      <c r="I52" s="1664">
        <f>H52/H73</f>
        <v>0.08946033277067758</v>
      </c>
      <c r="J52" s="1728">
        <f>H52/F52</f>
        <v>579.675</v>
      </c>
      <c r="K52" s="895"/>
      <c r="L52" s="895"/>
      <c r="M52" s="895">
        <v>351</v>
      </c>
      <c r="N52" s="895"/>
      <c r="O52" s="896">
        <v>351</v>
      </c>
      <c r="P52" s="896"/>
      <c r="Q52" s="867"/>
      <c r="R52" s="867"/>
      <c r="S52" s="867"/>
      <c r="T52" s="868"/>
      <c r="U52" s="868"/>
      <c r="V52" s="868">
        <v>351</v>
      </c>
      <c r="W52" s="867"/>
      <c r="X52" s="867"/>
      <c r="Y52" s="867"/>
      <c r="Z52" s="867"/>
      <c r="AA52" s="869"/>
      <c r="AB52" s="870"/>
      <c r="AC52" s="871"/>
    </row>
    <row r="53" spans="2:29" ht="13.5">
      <c r="B53" s="1875"/>
      <c r="C53" s="1879"/>
      <c r="D53" s="1677"/>
      <c r="E53" s="1679"/>
      <c r="F53" s="1677"/>
      <c r="G53" s="1679"/>
      <c r="H53" s="1682"/>
      <c r="I53" s="1665"/>
      <c r="J53" s="1729"/>
      <c r="K53" s="900"/>
      <c r="L53" s="900"/>
      <c r="M53" s="900">
        <v>501</v>
      </c>
      <c r="N53" s="900"/>
      <c r="O53" s="901">
        <v>501</v>
      </c>
      <c r="P53" s="901"/>
      <c r="Q53" s="875"/>
      <c r="R53" s="875"/>
      <c r="S53" s="875"/>
      <c r="T53" s="876"/>
      <c r="U53" s="876"/>
      <c r="V53" s="876">
        <v>501</v>
      </c>
      <c r="W53" s="875"/>
      <c r="X53" s="875"/>
      <c r="Y53" s="875"/>
      <c r="Z53" s="875"/>
      <c r="AA53" s="877"/>
      <c r="AB53" s="878"/>
      <c r="AC53" s="879"/>
    </row>
    <row r="54" spans="2:29" ht="13.5">
      <c r="B54" s="1875"/>
      <c r="C54" s="1879"/>
      <c r="D54" s="1677"/>
      <c r="E54" s="1679"/>
      <c r="F54" s="1677"/>
      <c r="G54" s="1679"/>
      <c r="H54" s="1682"/>
      <c r="I54" s="1665"/>
      <c r="J54" s="1729"/>
      <c r="K54" s="902"/>
      <c r="L54" s="902"/>
      <c r="M54" s="902"/>
      <c r="N54" s="902"/>
      <c r="O54" s="903"/>
      <c r="P54" s="903"/>
      <c r="Q54" s="883"/>
      <c r="R54" s="883"/>
      <c r="S54" s="883"/>
      <c r="T54" s="884"/>
      <c r="U54" s="884"/>
      <c r="V54" s="884"/>
      <c r="W54" s="883"/>
      <c r="X54" s="883"/>
      <c r="Y54" s="883"/>
      <c r="Z54" s="883"/>
      <c r="AA54" s="885"/>
      <c r="AB54" s="886"/>
      <c r="AC54" s="887"/>
    </row>
    <row r="55" spans="2:29" ht="13.5">
      <c r="B55" s="1875"/>
      <c r="C55" s="1879"/>
      <c r="D55" s="1677"/>
      <c r="E55" s="1679"/>
      <c r="F55" s="1677"/>
      <c r="G55" s="1679"/>
      <c r="H55" s="1682"/>
      <c r="I55" s="1665"/>
      <c r="J55" s="1729"/>
      <c r="K55" s="902"/>
      <c r="L55" s="902"/>
      <c r="M55" s="902"/>
      <c r="N55" s="902"/>
      <c r="O55" s="903"/>
      <c r="P55" s="903"/>
      <c r="Q55" s="883"/>
      <c r="R55" s="883"/>
      <c r="S55" s="883"/>
      <c r="T55" s="884"/>
      <c r="U55" s="884"/>
      <c r="V55" s="1901"/>
      <c r="W55" s="883"/>
      <c r="X55" s="883"/>
      <c r="Y55" s="883"/>
      <c r="Z55" s="883"/>
      <c r="AA55" s="885"/>
      <c r="AB55" s="886"/>
      <c r="AC55" s="887"/>
    </row>
    <row r="56" spans="2:29" ht="13.5">
      <c r="B56" s="1875"/>
      <c r="C56" s="1879"/>
      <c r="D56" s="1677"/>
      <c r="E56" s="1679"/>
      <c r="F56" s="1677"/>
      <c r="G56" s="1679"/>
      <c r="H56" s="1682"/>
      <c r="I56" s="1665"/>
      <c r="J56" s="1729"/>
      <c r="K56" s="902"/>
      <c r="L56" s="902"/>
      <c r="M56" s="902">
        <v>90</v>
      </c>
      <c r="N56" s="902">
        <v>90</v>
      </c>
      <c r="O56" s="903"/>
      <c r="P56" s="903"/>
      <c r="Q56" s="883"/>
      <c r="R56" s="883"/>
      <c r="S56" s="883"/>
      <c r="T56" s="884"/>
      <c r="U56" s="884"/>
      <c r="V56" s="1901">
        <v>90</v>
      </c>
      <c r="W56" s="883"/>
      <c r="X56" s="883"/>
      <c r="Y56" s="883"/>
      <c r="Z56" s="883"/>
      <c r="AA56" s="885"/>
      <c r="AB56" s="886"/>
      <c r="AC56" s="887"/>
    </row>
    <row r="57" spans="2:29" ht="15" thickBot="1">
      <c r="B57" s="1875"/>
      <c r="C57" s="1879"/>
      <c r="D57" s="1677"/>
      <c r="E57" s="1679"/>
      <c r="F57" s="1677"/>
      <c r="G57" s="1679"/>
      <c r="H57" s="1682"/>
      <c r="I57" s="1665"/>
      <c r="J57" s="1729"/>
      <c r="K57" s="902"/>
      <c r="L57" s="902"/>
      <c r="M57" s="902"/>
      <c r="N57" s="902"/>
      <c r="O57" s="903"/>
      <c r="P57" s="903"/>
      <c r="Q57" s="883"/>
      <c r="R57" s="883"/>
      <c r="S57" s="883"/>
      <c r="T57" s="884"/>
      <c r="U57" s="884"/>
      <c r="V57" s="884"/>
      <c r="W57" s="883"/>
      <c r="X57" s="883"/>
      <c r="Y57" s="883"/>
      <c r="Z57" s="883"/>
      <c r="AA57" s="885"/>
      <c r="AB57" s="886"/>
      <c r="AC57" s="887">
        <v>305</v>
      </c>
    </row>
    <row r="58" spans="2:29" ht="13.5">
      <c r="B58" s="1902" t="s">
        <v>241</v>
      </c>
      <c r="C58" s="1903"/>
      <c r="D58" s="1706">
        <v>92</v>
      </c>
      <c r="E58" s="1711">
        <f>D58/$D$73</f>
        <v>0.10952380952380952</v>
      </c>
      <c r="F58" s="1716">
        <f>COUNTA(K58:AC61)</f>
        <v>9</v>
      </c>
      <c r="G58" s="1719">
        <f>F58/D58</f>
        <v>0.09782608695652174</v>
      </c>
      <c r="H58" s="1681">
        <f>$K$5*COUNTA(K58:K61)+$L$5*COUNTA(L58:L61)+$N$5*COUNTA(N58:N61)+$O$5*COUNTA(O58:O61)+$Q$5*COUNTA(Q58:Q61)+$R$5*COUNTA(R58:R61)+$S$5*COUNTA(S58:S61)+$T$5*COUNTA(T58:T61)+$W$5*COUNTA(W58:W61)+$X$5*COUNTA(X58:X61)+$Z$5*COUNTA(Z58:Z61)+$AB$5*COUNTA(AB58:AB61)+$AC$5*COUNTA(AC58:AC61)+$M$5*COUNTA(M58:M61)+$U$5*COUNTA(U58:U61)+$P$5*COUNTA(P58:P61)+$V$5*COUNTA(V58:V61)+$AA$5*COUNTA(AA58:AA61)</f>
        <v>2164.05</v>
      </c>
      <c r="I58" s="1684">
        <f>H58/H73</f>
        <v>0.08349360983843741</v>
      </c>
      <c r="J58" s="1666">
        <f>H58/F58</f>
        <v>240.45000000000002</v>
      </c>
      <c r="K58" s="895">
        <v>621</v>
      </c>
      <c r="L58" s="895"/>
      <c r="M58" s="895"/>
      <c r="N58" s="895"/>
      <c r="O58" s="896"/>
      <c r="P58" s="896"/>
      <c r="Q58" s="867"/>
      <c r="R58" s="867"/>
      <c r="S58" s="867"/>
      <c r="T58" s="868"/>
      <c r="U58" s="868"/>
      <c r="V58" s="868"/>
      <c r="W58" s="867"/>
      <c r="X58" s="867"/>
      <c r="Y58" s="867"/>
      <c r="Z58" s="867"/>
      <c r="AA58" s="869"/>
      <c r="AB58" s="870"/>
      <c r="AC58" s="871"/>
    </row>
    <row r="59" spans="2:29" ht="13.5">
      <c r="B59" s="1904"/>
      <c r="C59" s="1905"/>
      <c r="D59" s="1707"/>
      <c r="E59" s="1712"/>
      <c r="F59" s="1717"/>
      <c r="G59" s="1720"/>
      <c r="H59" s="1682"/>
      <c r="I59" s="1685"/>
      <c r="J59" s="1667"/>
      <c r="K59" s="900"/>
      <c r="L59" s="900">
        <v>993</v>
      </c>
      <c r="M59" s="900"/>
      <c r="N59" s="900"/>
      <c r="O59" s="901"/>
      <c r="P59" s="901"/>
      <c r="Q59" s="875"/>
      <c r="R59" s="875"/>
      <c r="S59" s="875">
        <v>464</v>
      </c>
      <c r="T59" s="876"/>
      <c r="U59" s="876"/>
      <c r="V59" s="876"/>
      <c r="W59" s="875"/>
      <c r="X59" s="875"/>
      <c r="Y59" s="875"/>
      <c r="Z59" s="875"/>
      <c r="AA59" s="877"/>
      <c r="AB59" s="878"/>
      <c r="AC59" s="879">
        <v>479</v>
      </c>
    </row>
    <row r="60" spans="2:29" ht="13.5">
      <c r="B60" s="1906"/>
      <c r="C60" s="1907"/>
      <c r="D60" s="1708"/>
      <c r="E60" s="1713"/>
      <c r="F60" s="1717"/>
      <c r="G60" s="1720"/>
      <c r="H60" s="1682"/>
      <c r="I60" s="1685"/>
      <c r="J60" s="1667"/>
      <c r="K60" s="900"/>
      <c r="L60" s="900">
        <v>886</v>
      </c>
      <c r="M60" s="900"/>
      <c r="N60" s="900"/>
      <c r="O60" s="901">
        <v>97</v>
      </c>
      <c r="P60" s="901">
        <v>72</v>
      </c>
      <c r="Q60" s="875">
        <v>49</v>
      </c>
      <c r="R60" s="875"/>
      <c r="S60" s="875">
        <v>593</v>
      </c>
      <c r="T60" s="876"/>
      <c r="U60" s="876"/>
      <c r="V60" s="876"/>
      <c r="W60" s="875"/>
      <c r="X60" s="875"/>
      <c r="Y60" s="875"/>
      <c r="Z60" s="875"/>
      <c r="AA60" s="877"/>
      <c r="AB60" s="878"/>
      <c r="AC60" s="879"/>
    </row>
    <row r="61" spans="2:29" ht="15" thickBot="1">
      <c r="B61" s="1908"/>
      <c r="C61" s="1909"/>
      <c r="D61" s="1710"/>
      <c r="E61" s="1715"/>
      <c r="F61" s="1717"/>
      <c r="G61" s="1720"/>
      <c r="H61" s="1682"/>
      <c r="I61" s="1685"/>
      <c r="J61" s="1667"/>
      <c r="K61" s="902"/>
      <c r="L61" s="902"/>
      <c r="M61" s="902"/>
      <c r="N61" s="902"/>
      <c r="O61" s="903"/>
      <c r="P61" s="903"/>
      <c r="Q61" s="883"/>
      <c r="R61" s="883"/>
      <c r="S61" s="883"/>
      <c r="T61" s="884"/>
      <c r="U61" s="884"/>
      <c r="V61" s="884"/>
      <c r="W61" s="883"/>
      <c r="X61" s="883"/>
      <c r="Y61" s="883"/>
      <c r="Z61" s="883"/>
      <c r="AA61" s="885"/>
      <c r="AB61" s="886"/>
      <c r="AC61" s="887"/>
    </row>
    <row r="62" spans="2:29" ht="13.5">
      <c r="B62" s="1899" t="s">
        <v>243</v>
      </c>
      <c r="C62" s="1900"/>
      <c r="D62" s="1691">
        <v>52</v>
      </c>
      <c r="E62" s="1693">
        <f>D62/$D$73</f>
        <v>0.06190476190476191</v>
      </c>
      <c r="F62" s="1524">
        <f>COUNTA(K62:AC66)</f>
        <v>5</v>
      </c>
      <c r="G62" s="1678">
        <f>F62/D62</f>
        <v>0.09615384615384616</v>
      </c>
      <c r="H62" s="1681">
        <f>$K$5*COUNTA(K62:K66)+$L$5*COUNTA(L62:L66)+$N$5*COUNTA(N62:N66)+$O$5*COUNTA(O62:O66)+$Q$5*COUNTA(Q62:Q66)+$R$5*COUNTA(R62:R66)+$S$5*COUNTA(S62:S66)+$T$5*COUNTA(T62:T66)+$W$5*COUNTA(W62:W66)+$X$5*COUNTA(X62:X66)+$Z$5*COUNTA(Z62:Z66)+$AB$5*COUNTA(AB62:AB66)+$AC$5*COUNTA(AC62:AC66)+$M$5*COUNTA(M62:M66)+$M$5*COUNTA(U62:U66)+$P$5*COUNTA(P62:P66)+$V$5*COUNTA(V62:V66)+$AA$5*COUNTA(AA62:AA66)</f>
        <v>1266</v>
      </c>
      <c r="I62" s="1664">
        <f>H62/H73</f>
        <v>0.04884494815529298</v>
      </c>
      <c r="J62" s="1666">
        <f>H62/F62</f>
        <v>253.2</v>
      </c>
      <c r="K62" s="895"/>
      <c r="L62" s="895"/>
      <c r="M62" s="895"/>
      <c r="N62" s="895"/>
      <c r="O62" s="896"/>
      <c r="P62" s="896"/>
      <c r="Q62" s="867"/>
      <c r="R62" s="867"/>
      <c r="S62" s="867"/>
      <c r="T62" s="868"/>
      <c r="U62" s="868"/>
      <c r="V62" s="868">
        <v>895</v>
      </c>
      <c r="W62" s="867"/>
      <c r="X62" s="867"/>
      <c r="Y62" s="867"/>
      <c r="Z62" s="867"/>
      <c r="AA62" s="869"/>
      <c r="AB62" s="870"/>
      <c r="AC62" s="871"/>
    </row>
    <row r="63" spans="2:29" ht="13.5">
      <c r="B63" s="1899"/>
      <c r="C63" s="1900"/>
      <c r="D63" s="1691"/>
      <c r="E63" s="1693"/>
      <c r="F63" s="1677"/>
      <c r="G63" s="1679"/>
      <c r="H63" s="1682"/>
      <c r="I63" s="1665"/>
      <c r="J63" s="1667"/>
      <c r="K63" s="900">
        <v>597</v>
      </c>
      <c r="L63" s="900"/>
      <c r="M63" s="900"/>
      <c r="N63" s="900"/>
      <c r="O63" s="901"/>
      <c r="P63" s="901"/>
      <c r="Q63" s="875">
        <v>896</v>
      </c>
      <c r="R63" s="875"/>
      <c r="S63" s="875"/>
      <c r="T63" s="876"/>
      <c r="U63" s="876"/>
      <c r="V63" s="876"/>
      <c r="W63" s="875"/>
      <c r="X63" s="875"/>
      <c r="Y63" s="875"/>
      <c r="Z63" s="875"/>
      <c r="AA63" s="877"/>
      <c r="AB63" s="878"/>
      <c r="AC63" s="879"/>
    </row>
    <row r="64" spans="2:29" ht="15">
      <c r="B64" s="1899"/>
      <c r="C64" s="1900"/>
      <c r="D64" s="1691"/>
      <c r="E64" s="1693"/>
      <c r="F64" s="1677"/>
      <c r="G64" s="1679"/>
      <c r="H64" s="1682"/>
      <c r="I64" s="1665"/>
      <c r="J64" s="1667"/>
      <c r="K64" s="902"/>
      <c r="L64" s="902"/>
      <c r="M64" s="902"/>
      <c r="N64" s="902"/>
      <c r="O64" s="903"/>
      <c r="P64" s="903"/>
      <c r="Q64" s="1910"/>
      <c r="R64" s="883"/>
      <c r="S64" s="883"/>
      <c r="T64" s="884"/>
      <c r="U64" s="884"/>
      <c r="V64" s="884">
        <v>959</v>
      </c>
      <c r="W64" s="883"/>
      <c r="X64" s="883"/>
      <c r="Y64" s="883"/>
      <c r="Z64" s="883"/>
      <c r="AA64" s="885"/>
      <c r="AB64" s="886"/>
      <c r="AC64" s="887"/>
    </row>
    <row r="65" spans="2:29" ht="13.5">
      <c r="B65" s="1899"/>
      <c r="C65" s="1900"/>
      <c r="D65" s="1691"/>
      <c r="E65" s="1693"/>
      <c r="F65" s="1677"/>
      <c r="G65" s="1679"/>
      <c r="H65" s="1682"/>
      <c r="I65" s="1665"/>
      <c r="J65" s="1667"/>
      <c r="K65" s="902"/>
      <c r="L65" s="902"/>
      <c r="M65" s="902"/>
      <c r="N65" s="902"/>
      <c r="O65" s="903"/>
      <c r="P65" s="903"/>
      <c r="Q65" s="883">
        <v>301</v>
      </c>
      <c r="R65" s="883"/>
      <c r="S65" s="883"/>
      <c r="T65" s="884"/>
      <c r="U65" s="884"/>
      <c r="V65" s="884"/>
      <c r="W65" s="883"/>
      <c r="X65" s="883"/>
      <c r="Y65" s="883"/>
      <c r="Z65" s="883"/>
      <c r="AA65" s="885"/>
      <c r="AB65" s="886"/>
      <c r="AC65" s="887"/>
    </row>
    <row r="66" spans="2:29" ht="15" thickBot="1">
      <c r="B66" s="1911"/>
      <c r="C66" s="1912"/>
      <c r="D66" s="1692"/>
      <c r="E66" s="1694"/>
      <c r="F66" s="1525"/>
      <c r="G66" s="1680"/>
      <c r="H66" s="1683"/>
      <c r="I66" s="1695"/>
      <c r="J66" s="1668"/>
      <c r="K66" s="888"/>
      <c r="L66" s="888"/>
      <c r="M66" s="888"/>
      <c r="N66" s="888"/>
      <c r="O66" s="889"/>
      <c r="P66" s="889"/>
      <c r="Q66" s="890"/>
      <c r="R66" s="890"/>
      <c r="S66" s="890"/>
      <c r="T66" s="891"/>
      <c r="U66" s="891"/>
      <c r="V66" s="891"/>
      <c r="W66" s="890"/>
      <c r="X66" s="890"/>
      <c r="Y66" s="890"/>
      <c r="Z66" s="890"/>
      <c r="AA66" s="892"/>
      <c r="AB66" s="893"/>
      <c r="AC66" s="894"/>
    </row>
    <row r="67" spans="2:29" ht="15" thickBot="1">
      <c r="B67" s="1913" t="s">
        <v>269</v>
      </c>
      <c r="C67" s="1914"/>
      <c r="D67" s="1675">
        <v>47</v>
      </c>
      <c r="E67" s="1676">
        <f>D67/$D$73</f>
        <v>0.055952380952380955</v>
      </c>
      <c r="F67" s="1524">
        <f>COUNTA(K67:AC71)-3</f>
        <v>5</v>
      </c>
      <c r="G67" s="1678">
        <f>F67/D67</f>
        <v>0.10638297872340426</v>
      </c>
      <c r="H67" s="1681">
        <f>$K$5*COUNTA(K67:K71)+$L$5*COUNTA(L67:L71)+$N$5*COUNTA(N67:N71)+$O$5*COUNTA(O67:O71)+$Q$5*COUNTA(Q67:Q71)+$R$5*COUNTA(R67:R71)+$S$5*COUNTA(S67:S71)+$T$5*COUNTA(T67:T71)+$W$5*COUNTA(W67:W71)+$X$5*COUNTA(X67:X71)+$Z$5*COUNTA(Z67:Z71)+$AB$5*COUNTA(AB67:AB71)+$AC$5*COUNTA(AC67:AC71)+$M$5*COUNTA(M67:M71)+$U$5*COUNTA(U67:U71)+$P$5*COUNTA(P62:P66)+$V$5*COUNTA(V62:V66)+$AA$5*COUNTA(AS62:AS66)</f>
        <v>2257.4</v>
      </c>
      <c r="I67" s="1664">
        <f>H67/H73</f>
        <v>0.0870952495780082</v>
      </c>
      <c r="J67" s="1666">
        <f>H67/F67</f>
        <v>451.48</v>
      </c>
      <c r="K67" s="895"/>
      <c r="L67" s="895"/>
      <c r="M67" s="895"/>
      <c r="N67" s="895"/>
      <c r="O67" s="896"/>
      <c r="P67" s="896"/>
      <c r="Q67" s="867">
        <v>1726</v>
      </c>
      <c r="R67" s="867"/>
      <c r="S67" s="867"/>
      <c r="T67" s="868"/>
      <c r="U67" s="868"/>
      <c r="V67" s="868"/>
      <c r="W67" s="867"/>
      <c r="X67" s="867"/>
      <c r="Y67" s="867"/>
      <c r="Z67" s="867"/>
      <c r="AA67" s="869"/>
      <c r="AB67" s="870"/>
      <c r="AC67" s="871"/>
    </row>
    <row r="68" spans="2:29" ht="15" thickBot="1">
      <c r="B68" s="1913"/>
      <c r="C68" s="1914"/>
      <c r="D68" s="1675"/>
      <c r="E68" s="1676"/>
      <c r="F68" s="1677"/>
      <c r="G68" s="1679"/>
      <c r="H68" s="1682"/>
      <c r="I68" s="1665"/>
      <c r="J68" s="1667"/>
      <c r="K68" s="900"/>
      <c r="L68" s="900"/>
      <c r="M68" s="900">
        <v>1683</v>
      </c>
      <c r="N68" s="900"/>
      <c r="O68" s="901">
        <v>1683</v>
      </c>
      <c r="P68" s="901"/>
      <c r="Q68" s="875"/>
      <c r="R68" s="875"/>
      <c r="S68" s="875"/>
      <c r="T68" s="876"/>
      <c r="U68" s="876"/>
      <c r="V68" s="876">
        <v>1683</v>
      </c>
      <c r="W68" s="875"/>
      <c r="X68" s="875"/>
      <c r="Y68" s="875"/>
      <c r="Z68" s="875"/>
      <c r="AA68" s="877"/>
      <c r="AB68" s="878"/>
      <c r="AC68" s="879"/>
    </row>
    <row r="69" spans="2:29" ht="15" thickBot="1">
      <c r="B69" s="1913"/>
      <c r="C69" s="1914"/>
      <c r="D69" s="1675"/>
      <c r="E69" s="1676"/>
      <c r="F69" s="1677"/>
      <c r="G69" s="1679"/>
      <c r="H69" s="1682"/>
      <c r="I69" s="1665"/>
      <c r="J69" s="1667"/>
      <c r="K69" s="902"/>
      <c r="L69" s="902"/>
      <c r="M69" s="902">
        <v>1704</v>
      </c>
      <c r="N69" s="902"/>
      <c r="O69" s="903">
        <v>1704</v>
      </c>
      <c r="P69" s="903"/>
      <c r="Q69" s="883"/>
      <c r="R69" s="883"/>
      <c r="S69" s="883"/>
      <c r="T69" s="884"/>
      <c r="U69" s="884"/>
      <c r="V69" s="884"/>
      <c r="W69" s="883"/>
      <c r="X69" s="883"/>
      <c r="Y69" s="883"/>
      <c r="Z69" s="883"/>
      <c r="AA69" s="885"/>
      <c r="AB69" s="886"/>
      <c r="AC69" s="879">
        <v>1573</v>
      </c>
    </row>
    <row r="70" spans="2:29" ht="15" thickBot="1">
      <c r="B70" s="1913"/>
      <c r="C70" s="1914"/>
      <c r="D70" s="1675"/>
      <c r="E70" s="1676"/>
      <c r="F70" s="1677"/>
      <c r="G70" s="1679"/>
      <c r="H70" s="1682"/>
      <c r="I70" s="1665"/>
      <c r="J70" s="1667"/>
      <c r="K70" s="902"/>
      <c r="L70" s="902"/>
      <c r="M70" s="902"/>
      <c r="N70" s="902"/>
      <c r="O70" s="903"/>
      <c r="P70" s="903"/>
      <c r="Q70" s="883">
        <v>284</v>
      </c>
      <c r="R70" s="883"/>
      <c r="S70" s="883"/>
      <c r="T70" s="884"/>
      <c r="U70" s="884"/>
      <c r="V70" s="884"/>
      <c r="W70" s="883"/>
      <c r="X70" s="883"/>
      <c r="Y70" s="883"/>
      <c r="Z70" s="883"/>
      <c r="AA70" s="885"/>
      <c r="AB70" s="886"/>
      <c r="AC70" s="887"/>
    </row>
    <row r="71" spans="2:29" ht="15" thickBot="1">
      <c r="B71" s="1913"/>
      <c r="C71" s="1914"/>
      <c r="D71" s="1675"/>
      <c r="E71" s="1676"/>
      <c r="F71" s="1525"/>
      <c r="G71" s="1680"/>
      <c r="H71" s="1683"/>
      <c r="I71" s="1665"/>
      <c r="J71" s="1668"/>
      <c r="K71" s="888"/>
      <c r="L71" s="888"/>
      <c r="M71" s="888"/>
      <c r="N71" s="888"/>
      <c r="O71" s="889"/>
      <c r="P71" s="889"/>
      <c r="Q71" s="890"/>
      <c r="R71" s="890"/>
      <c r="S71" s="890"/>
      <c r="T71" s="891"/>
      <c r="U71" s="891"/>
      <c r="V71" s="891"/>
      <c r="W71" s="890"/>
      <c r="X71" s="890"/>
      <c r="Y71" s="890"/>
      <c r="Z71" s="890"/>
      <c r="AA71" s="892"/>
      <c r="AB71" s="893"/>
      <c r="AC71" s="894"/>
    </row>
    <row r="72" spans="2:29" ht="19.5" thickBot="1">
      <c r="B72" s="1669" t="s">
        <v>45</v>
      </c>
      <c r="C72" s="1670"/>
      <c r="D72" s="928"/>
      <c r="E72" s="929"/>
      <c r="F72" s="928"/>
      <c r="G72" s="929"/>
      <c r="H72" s="930"/>
      <c r="I72" s="931"/>
      <c r="J72" s="932"/>
      <c r="K72" s="1915">
        <f aca="true" t="shared" si="0" ref="K72:AC72">COUNTA(K6:K71)</f>
        <v>3</v>
      </c>
      <c r="L72" s="1915">
        <f t="shared" si="0"/>
        <v>7</v>
      </c>
      <c r="M72" s="1915">
        <f>COUNTA(M6:M71)</f>
        <v>15</v>
      </c>
      <c r="N72" s="1915">
        <f t="shared" si="0"/>
        <v>8</v>
      </c>
      <c r="O72" s="1915">
        <f t="shared" si="0"/>
        <v>6</v>
      </c>
      <c r="P72" s="1915">
        <f t="shared" si="0"/>
        <v>1</v>
      </c>
      <c r="Q72" s="935">
        <f t="shared" si="0"/>
        <v>21</v>
      </c>
      <c r="R72" s="935">
        <f t="shared" si="0"/>
        <v>0</v>
      </c>
      <c r="S72" s="935">
        <f t="shared" si="0"/>
        <v>5</v>
      </c>
      <c r="T72" s="938">
        <f t="shared" si="0"/>
        <v>2</v>
      </c>
      <c r="U72" s="938">
        <f t="shared" si="0"/>
        <v>0</v>
      </c>
      <c r="V72" s="938">
        <f t="shared" si="0"/>
        <v>19</v>
      </c>
      <c r="W72" s="935">
        <f t="shared" si="0"/>
        <v>1</v>
      </c>
      <c r="X72" s="938">
        <f t="shared" si="0"/>
        <v>1</v>
      </c>
      <c r="Y72" s="938">
        <f t="shared" si="0"/>
        <v>3</v>
      </c>
      <c r="Z72" s="1073">
        <f t="shared" si="0"/>
        <v>0</v>
      </c>
      <c r="AA72" s="1073">
        <f t="shared" si="0"/>
        <v>1</v>
      </c>
      <c r="AB72" s="939">
        <f t="shared" si="0"/>
        <v>4</v>
      </c>
      <c r="AC72" s="940">
        <f t="shared" si="0"/>
        <v>8</v>
      </c>
    </row>
    <row r="73" spans="2:29" ht="18" thickBot="1" thickTop="1">
      <c r="B73" s="1395" t="s">
        <v>161</v>
      </c>
      <c r="C73" s="1396"/>
      <c r="D73" s="565">
        <f>SUM(D6:D71)</f>
        <v>840</v>
      </c>
      <c r="E73" s="941"/>
      <c r="F73" s="565">
        <f>SUM(F6:F71)</f>
        <v>80</v>
      </c>
      <c r="G73" s="942">
        <f>F73/D73</f>
        <v>0.09523809523809523</v>
      </c>
      <c r="H73" s="1109">
        <f>SUM(H6:H71)</f>
        <v>25918.750000000004</v>
      </c>
      <c r="I73" s="569"/>
      <c r="J73" s="1108" t="e">
        <f>SUM(J6:J71)/22</f>
        <v>#DIV/0!</v>
      </c>
      <c r="K73" s="1108">
        <f aca="true" t="shared" si="1" ref="K73:X73">K5*K72</f>
        <v>288</v>
      </c>
      <c r="L73" s="1108">
        <f t="shared" si="1"/>
        <v>1645</v>
      </c>
      <c r="M73" s="1108">
        <f t="shared" si="1"/>
        <v>3240</v>
      </c>
      <c r="N73" s="1108">
        <f t="shared" si="1"/>
        <v>1282.4</v>
      </c>
      <c r="O73" s="1108">
        <f t="shared" si="1"/>
        <v>1066.1999999999998</v>
      </c>
      <c r="P73" s="1108">
        <f t="shared" si="1"/>
        <v>450.35</v>
      </c>
      <c r="Q73" s="1108">
        <f t="shared" si="1"/>
        <v>6300</v>
      </c>
      <c r="R73" s="1108">
        <f t="shared" si="1"/>
        <v>0</v>
      </c>
      <c r="S73" s="1108">
        <f t="shared" si="1"/>
        <v>925</v>
      </c>
      <c r="T73" s="1109">
        <f t="shared" si="1"/>
        <v>239.8</v>
      </c>
      <c r="U73" s="1109">
        <f t="shared" si="1"/>
        <v>0</v>
      </c>
      <c r="V73" s="1109">
        <f t="shared" si="1"/>
        <v>5415</v>
      </c>
      <c r="W73" s="1108">
        <f t="shared" si="1"/>
        <v>202</v>
      </c>
      <c r="X73" s="1108">
        <f t="shared" si="1"/>
        <v>545</v>
      </c>
      <c r="Y73" s="1108"/>
      <c r="Z73" s="1108">
        <f>Z5*Z72</f>
        <v>0</v>
      </c>
      <c r="AA73" s="1108">
        <f>AA5*AA72</f>
        <v>150</v>
      </c>
      <c r="AB73" s="1108">
        <f>AB5*AB72</f>
        <v>1200</v>
      </c>
      <c r="AC73" s="1108">
        <f>AC5*AC72</f>
        <v>2400</v>
      </c>
    </row>
    <row r="74" spans="2:29" ht="15.75" thickBot="1" thickTop="1">
      <c r="B74" s="943"/>
      <c r="C74" s="943"/>
      <c r="D74" s="943"/>
      <c r="E74" s="943"/>
      <c r="F74" s="943"/>
      <c r="G74" s="944"/>
      <c r="H74" s="943"/>
      <c r="I74" s="944"/>
      <c r="J74" s="944"/>
      <c r="K74" s="944"/>
      <c r="L74" s="944"/>
      <c r="M74" s="944"/>
      <c r="N74" s="943"/>
      <c r="O74" s="943"/>
      <c r="P74" s="943"/>
      <c r="Q74" s="943"/>
      <c r="R74" s="943"/>
      <c r="S74" s="943"/>
      <c r="T74" s="943"/>
      <c r="U74" s="943"/>
      <c r="V74" s="943"/>
      <c r="W74" s="943"/>
      <c r="X74" s="943"/>
      <c r="Y74" s="943"/>
      <c r="Z74" s="943"/>
      <c r="AA74" s="943"/>
      <c r="AB74" s="943"/>
      <c r="AC74" s="943"/>
    </row>
    <row r="75" spans="2:29" ht="22.5" thickBot="1" thickTop="1">
      <c r="B75" s="1671" t="s">
        <v>58</v>
      </c>
      <c r="C75" s="1672"/>
      <c r="D75" s="1672"/>
      <c r="E75" s="1672"/>
      <c r="F75" s="1672"/>
      <c r="G75" s="1672"/>
      <c r="H75" s="1672"/>
      <c r="I75" s="1672"/>
      <c r="J75" s="1672"/>
      <c r="K75" s="1672"/>
      <c r="L75" s="1672"/>
      <c r="M75" s="1672"/>
      <c r="N75" s="1672"/>
      <c r="O75" s="945">
        <f>F73</f>
        <v>80</v>
      </c>
      <c r="P75" s="945"/>
      <c r="Q75" s="576"/>
      <c r="R75" s="576"/>
      <c r="S75" s="576"/>
      <c r="T75" s="576"/>
      <c r="U75" s="576"/>
      <c r="V75" s="576"/>
      <c r="W75" s="576"/>
      <c r="X75" s="576"/>
      <c r="Y75" s="576"/>
      <c r="Z75" s="576"/>
      <c r="AA75" s="576"/>
      <c r="AB75" s="576"/>
      <c r="AC75" s="576"/>
    </row>
    <row r="76" spans="2:29" ht="22.5" thickBot="1" thickTop="1">
      <c r="B76" s="1916" t="s">
        <v>715</v>
      </c>
      <c r="C76" s="1917"/>
      <c r="D76" s="1917"/>
      <c r="E76" s="1917"/>
      <c r="F76" s="1917"/>
      <c r="G76" s="1917"/>
      <c r="H76" s="1917"/>
      <c r="I76" s="1917"/>
      <c r="J76" s="1917"/>
      <c r="K76" s="1917"/>
      <c r="L76" s="1917"/>
      <c r="M76" s="1917"/>
      <c r="N76" s="1917"/>
      <c r="O76" s="1074">
        <f>H73</f>
        <v>25918.750000000004</v>
      </c>
      <c r="P76" s="1074"/>
      <c r="Q76" s="576"/>
      <c r="R76" s="1075"/>
      <c r="S76" s="576"/>
      <c r="T76" s="576"/>
      <c r="U76" s="576"/>
      <c r="V76" s="576"/>
      <c r="W76" s="576"/>
      <c r="X76" s="576"/>
      <c r="Y76" s="576"/>
      <c r="Z76" s="576"/>
      <c r="AA76" s="576"/>
      <c r="AB76" s="576"/>
      <c r="AC76" s="576"/>
    </row>
    <row r="77" spans="2:15" ht="22.5" thickBot="1" thickTop="1">
      <c r="B77" s="1916" t="s">
        <v>299</v>
      </c>
      <c r="C77" s="1917"/>
      <c r="D77" s="1917"/>
      <c r="E77" s="1917"/>
      <c r="F77" s="1917"/>
      <c r="G77" s="1917"/>
      <c r="H77" s="1917"/>
      <c r="I77" s="1917"/>
      <c r="J77" s="1917"/>
      <c r="K77" s="1917"/>
      <c r="L77" s="1917"/>
      <c r="M77" s="1917"/>
      <c r="N77" s="1917"/>
      <c r="O77" s="1918">
        <v>25000</v>
      </c>
    </row>
    <row r="78" ht="13.5" thickTop="1"/>
    <row r="79" ht="12.75">
      <c r="B79" s="707"/>
    </row>
    <row r="80" ht="12.75">
      <c r="B80" s="707"/>
    </row>
    <row r="81" ht="12.75">
      <c r="B81" s="707"/>
    </row>
  </sheetData>
  <sheetProtection/>
  <mergeCells count="128">
    <mergeCell ref="B72:C72"/>
    <mergeCell ref="B73:C73"/>
    <mergeCell ref="B75:N75"/>
    <mergeCell ref="B76:N76"/>
    <mergeCell ref="B77:N77"/>
    <mergeCell ref="I62:I66"/>
    <mergeCell ref="J62:J66"/>
    <mergeCell ref="B67:C71"/>
    <mergeCell ref="D67:D71"/>
    <mergeCell ref="E67:E71"/>
    <mergeCell ref="F67:F71"/>
    <mergeCell ref="G67:G71"/>
    <mergeCell ref="H67:H71"/>
    <mergeCell ref="I67:I71"/>
    <mergeCell ref="J67:J71"/>
    <mergeCell ref="B62:C66"/>
    <mergeCell ref="D62:D66"/>
    <mergeCell ref="E62:E66"/>
    <mergeCell ref="F62:F66"/>
    <mergeCell ref="G62:G66"/>
    <mergeCell ref="H62:H66"/>
    <mergeCell ref="I52:I57"/>
    <mergeCell ref="J52:J57"/>
    <mergeCell ref="B58:C61"/>
    <mergeCell ref="D58:D61"/>
    <mergeCell ref="E58:E61"/>
    <mergeCell ref="F58:F61"/>
    <mergeCell ref="G58:G61"/>
    <mergeCell ref="H58:H61"/>
    <mergeCell ref="I58:I61"/>
    <mergeCell ref="J58:J61"/>
    <mergeCell ref="B52:C57"/>
    <mergeCell ref="D52:D57"/>
    <mergeCell ref="E52:E57"/>
    <mergeCell ref="F52:F57"/>
    <mergeCell ref="G52:G57"/>
    <mergeCell ref="H52:H57"/>
    <mergeCell ref="I39:I44"/>
    <mergeCell ref="J39:J44"/>
    <mergeCell ref="B45:C51"/>
    <mergeCell ref="D45:D51"/>
    <mergeCell ref="E45:E51"/>
    <mergeCell ref="F45:F51"/>
    <mergeCell ref="G45:G51"/>
    <mergeCell ref="H45:H51"/>
    <mergeCell ref="I45:I51"/>
    <mergeCell ref="J45:J51"/>
    <mergeCell ref="B39:C44"/>
    <mergeCell ref="D39:D44"/>
    <mergeCell ref="E39:E44"/>
    <mergeCell ref="F39:F44"/>
    <mergeCell ref="G39:G44"/>
    <mergeCell ref="H39:H44"/>
    <mergeCell ref="I27:I32"/>
    <mergeCell ref="J27:J32"/>
    <mergeCell ref="B33:C38"/>
    <mergeCell ref="D33:D38"/>
    <mergeCell ref="E33:E38"/>
    <mergeCell ref="F33:F38"/>
    <mergeCell ref="G33:G38"/>
    <mergeCell ref="H33:H38"/>
    <mergeCell ref="I33:I38"/>
    <mergeCell ref="J33:J38"/>
    <mergeCell ref="B27:C32"/>
    <mergeCell ref="D27:D32"/>
    <mergeCell ref="E27:E32"/>
    <mergeCell ref="F27:F32"/>
    <mergeCell ref="G27:G32"/>
    <mergeCell ref="H27:H32"/>
    <mergeCell ref="I19:I21"/>
    <mergeCell ref="J19:J21"/>
    <mergeCell ref="B22:C26"/>
    <mergeCell ref="D22:D26"/>
    <mergeCell ref="E22:E26"/>
    <mergeCell ref="F22:F26"/>
    <mergeCell ref="G22:G26"/>
    <mergeCell ref="H22:H26"/>
    <mergeCell ref="I22:I26"/>
    <mergeCell ref="J22:J26"/>
    <mergeCell ref="B19:C21"/>
    <mergeCell ref="D19:D21"/>
    <mergeCell ref="E19:E21"/>
    <mergeCell ref="F19:F21"/>
    <mergeCell ref="G19:G21"/>
    <mergeCell ref="H19:H21"/>
    <mergeCell ref="J12:J15"/>
    <mergeCell ref="B16:C18"/>
    <mergeCell ref="D16:D18"/>
    <mergeCell ref="E16:E18"/>
    <mergeCell ref="F16:F18"/>
    <mergeCell ref="G16:G18"/>
    <mergeCell ref="H16:H18"/>
    <mergeCell ref="I16:I18"/>
    <mergeCell ref="J16:J18"/>
    <mergeCell ref="H6:H11"/>
    <mergeCell ref="I6:I11"/>
    <mergeCell ref="J6:J11"/>
    <mergeCell ref="B12:C15"/>
    <mergeCell ref="D12:D15"/>
    <mergeCell ref="E12:E15"/>
    <mergeCell ref="F12:F15"/>
    <mergeCell ref="G12:G15"/>
    <mergeCell ref="H12:H15"/>
    <mergeCell ref="I12:I15"/>
    <mergeCell ref="B5:C5"/>
    <mergeCell ref="B6:C11"/>
    <mergeCell ref="D6:D11"/>
    <mergeCell ref="E6:E11"/>
    <mergeCell ref="F6:F11"/>
    <mergeCell ref="G6:G11"/>
    <mergeCell ref="Y2:Y3"/>
    <mergeCell ref="Z2:Z3"/>
    <mergeCell ref="AA2:AA3"/>
    <mergeCell ref="AB2:AB3"/>
    <mergeCell ref="AC2:AC3"/>
    <mergeCell ref="B4:C4"/>
    <mergeCell ref="I2:I3"/>
    <mergeCell ref="J2:J3"/>
    <mergeCell ref="K2:O2"/>
    <mergeCell ref="V2:V3"/>
    <mergeCell ref="W2:W3"/>
    <mergeCell ref="X2:X3"/>
    <mergeCell ref="B2:C3"/>
    <mergeCell ref="D2:D3"/>
    <mergeCell ref="E2:E3"/>
    <mergeCell ref="F2:F3"/>
    <mergeCell ref="G2:G3"/>
    <mergeCell ref="H2:H3"/>
  </mergeCells>
  <conditionalFormatting sqref="G6:G71">
    <cfRule type="cellIs" priority="1" dxfId="2" operator="greaterThan">
      <formula>"&gt;0,25"</formula>
    </cfRule>
    <cfRule type="cellIs" priority="2" dxfId="1" operator="greaterThan">
      <formula>25</formula>
    </cfRule>
  </conditionalFormatting>
  <conditionalFormatting sqref="J6:J71">
    <cfRule type="cellIs" priority="3" dxfId="0" operator="lessThan">
      <formula>$J$73</formula>
    </cfRule>
  </conditionalFormatting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3:Z81"/>
  <sheetViews>
    <sheetView showGridLines="0" zoomScalePageLayoutView="0" workbookViewId="0" topLeftCell="A7">
      <pane ySplit="4" topLeftCell="A57" activePane="bottomLeft" state="frozen"/>
      <selection pane="topLeft" activeCell="A7" sqref="A7"/>
      <selection pane="bottomLeft" activeCell="F93" sqref="F93"/>
    </sheetView>
  </sheetViews>
  <sheetFormatPr defaultColWidth="11.421875" defaultRowHeight="12.75"/>
  <cols>
    <col min="1" max="1" width="4.28125" style="0" customWidth="1"/>
    <col min="2" max="2" width="20.421875" style="0" customWidth="1"/>
    <col min="3" max="3" width="10.00390625" style="0" customWidth="1"/>
    <col min="4" max="4" width="12.7109375" style="188" customWidth="1"/>
    <col min="5" max="5" width="13.7109375" style="188" customWidth="1"/>
    <col min="6" max="6" width="13.421875" style="188" customWidth="1"/>
    <col min="7" max="7" width="18.421875" style="10" customWidth="1"/>
    <col min="8" max="8" width="16.421875" style="10" customWidth="1"/>
    <col min="9" max="9" width="19.28125" style="10" customWidth="1"/>
    <col min="10" max="10" width="14.28125" style="10" customWidth="1"/>
    <col min="11" max="11" width="12.28125" style="10" customWidth="1"/>
    <col min="12" max="12" width="14.421875" style="10" customWidth="1"/>
    <col min="13" max="13" width="16.140625" style="10" customWidth="1"/>
    <col min="14" max="14" width="13.7109375" style="10" customWidth="1"/>
    <col min="15" max="15" width="14.421875" style="10" bestFit="1" customWidth="1"/>
    <col min="16" max="16" width="13.7109375" style="10" customWidth="1"/>
    <col min="17" max="17" width="11.28125" style="10" customWidth="1"/>
    <col min="18" max="18" width="10.8515625" style="10" customWidth="1"/>
    <col min="19" max="20" width="13.421875" style="10" customWidth="1"/>
    <col min="21" max="21" width="12.140625" style="192" bestFit="1" customWidth="1"/>
    <col min="22" max="22" width="11.421875" style="10" hidden="1" customWidth="1"/>
    <col min="23" max="23" width="12.421875" style="10" customWidth="1"/>
    <col min="24" max="24" width="14.421875" style="10" bestFit="1" customWidth="1"/>
  </cols>
  <sheetData>
    <row r="1" ht="12.75"/>
    <row r="2" ht="12.75"/>
    <row r="3" spans="2:24" ht="23.25">
      <c r="B3" s="1"/>
      <c r="C3" s="1"/>
      <c r="D3" s="183"/>
      <c r="E3" s="183"/>
      <c r="F3" s="183"/>
      <c r="G3" s="2"/>
      <c r="H3" s="2"/>
      <c r="I3" s="2"/>
      <c r="J3" s="2"/>
      <c r="K3" s="2"/>
      <c r="L3" s="2"/>
      <c r="M3" s="11" t="s">
        <v>62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2:24" ht="12.75">
      <c r="B4" s="1"/>
      <c r="C4" s="1"/>
      <c r="D4" s="183"/>
      <c r="E4" s="183"/>
      <c r="F4" s="183"/>
      <c r="G4" s="2"/>
      <c r="H4" s="2"/>
      <c r="I4" s="2"/>
      <c r="J4" s="2"/>
      <c r="K4" s="2"/>
      <c r="L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2:24" ht="12.75">
      <c r="B5" s="1"/>
      <c r="C5" s="1"/>
      <c r="D5" s="183"/>
      <c r="E5" s="183"/>
      <c r="F5" s="18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2:24" ht="12.75">
      <c r="B6" s="1"/>
      <c r="C6" s="1"/>
      <c r="D6" s="183"/>
      <c r="E6" s="183"/>
      <c r="F6" s="18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2:6" ht="13.5" thickBot="1">
      <c r="B7" s="5"/>
      <c r="C7" s="5"/>
      <c r="D7" s="184"/>
      <c r="E7" s="184"/>
      <c r="F7" s="184"/>
    </row>
    <row r="8" spans="1:24" ht="29.25" customHeight="1" thickBot="1" thickTop="1">
      <c r="A8" s="5"/>
      <c r="B8" s="1223" t="s">
        <v>21</v>
      </c>
      <c r="C8" s="1211"/>
      <c r="D8" s="1226" t="s">
        <v>63</v>
      </c>
      <c r="E8" s="1226" t="s">
        <v>64</v>
      </c>
      <c r="F8" s="1226" t="s">
        <v>65</v>
      </c>
      <c r="G8" s="1228" t="s">
        <v>0</v>
      </c>
      <c r="H8" s="1229"/>
      <c r="I8" s="1229"/>
      <c r="J8" s="1229"/>
      <c r="K8" s="1229"/>
      <c r="L8" s="1230"/>
      <c r="M8" s="1231" t="s">
        <v>10</v>
      </c>
      <c r="N8" s="1233" t="s">
        <v>1</v>
      </c>
      <c r="O8" s="1229"/>
      <c r="P8" s="1230"/>
      <c r="Q8" s="1233" t="s">
        <v>2</v>
      </c>
      <c r="R8" s="1230"/>
      <c r="S8" s="1231" t="s">
        <v>16</v>
      </c>
      <c r="T8" s="1228" t="s">
        <v>3</v>
      </c>
      <c r="U8" s="1229"/>
      <c r="V8" s="1229"/>
      <c r="W8" s="1229"/>
      <c r="X8" s="1230"/>
    </row>
    <row r="9" spans="1:26" ht="66.75" customHeight="1" thickBot="1">
      <c r="A9" s="193"/>
      <c r="B9" s="1224"/>
      <c r="C9" s="1225"/>
      <c r="D9" s="1227"/>
      <c r="E9" s="1227"/>
      <c r="F9" s="1227"/>
      <c r="G9" s="194" t="s">
        <v>4</v>
      </c>
      <c r="H9" s="164" t="s">
        <v>5</v>
      </c>
      <c r="I9" s="164" t="s">
        <v>6</v>
      </c>
      <c r="J9" s="164" t="s">
        <v>7</v>
      </c>
      <c r="K9" s="164" t="s">
        <v>8</v>
      </c>
      <c r="L9" s="195" t="s">
        <v>9</v>
      </c>
      <c r="M9" s="1232"/>
      <c r="N9" s="194" t="s">
        <v>11</v>
      </c>
      <c r="O9" s="164" t="s">
        <v>12</v>
      </c>
      <c r="P9" s="195" t="s">
        <v>13</v>
      </c>
      <c r="Q9" s="194" t="s">
        <v>14</v>
      </c>
      <c r="R9" s="195" t="s">
        <v>15</v>
      </c>
      <c r="S9" s="1234"/>
      <c r="T9" s="194" t="s">
        <v>17</v>
      </c>
      <c r="U9" s="196" t="s">
        <v>18</v>
      </c>
      <c r="V9" s="164"/>
      <c r="W9" s="164" t="s">
        <v>19</v>
      </c>
      <c r="X9" s="197" t="s">
        <v>20</v>
      </c>
      <c r="Y9" s="3"/>
      <c r="Z9" s="3"/>
    </row>
    <row r="10" spans="1:26" ht="41.25" customHeight="1" thickBot="1" thickTop="1">
      <c r="A10" s="193"/>
      <c r="B10" s="1218" t="s">
        <v>66</v>
      </c>
      <c r="C10" s="1219"/>
      <c r="D10" s="198"/>
      <c r="E10" s="198"/>
      <c r="F10" s="198"/>
      <c r="G10" s="199">
        <v>344.85</v>
      </c>
      <c r="H10" s="200">
        <v>159.58</v>
      </c>
      <c r="I10" s="200">
        <v>249.85</v>
      </c>
      <c r="J10" s="201">
        <v>119</v>
      </c>
      <c r="K10" s="201">
        <v>25</v>
      </c>
      <c r="L10" s="202">
        <v>78.45</v>
      </c>
      <c r="M10" s="203">
        <v>806</v>
      </c>
      <c r="N10" s="204">
        <v>39</v>
      </c>
      <c r="O10" s="200">
        <v>74.9</v>
      </c>
      <c r="P10" s="205">
        <v>100</v>
      </c>
      <c r="Q10" s="204">
        <v>95</v>
      </c>
      <c r="R10" s="205">
        <v>151</v>
      </c>
      <c r="S10" s="206">
        <v>118.4</v>
      </c>
      <c r="T10" s="204">
        <v>300</v>
      </c>
      <c r="U10" s="200">
        <v>185.27</v>
      </c>
      <c r="V10" s="207"/>
      <c r="W10" s="201">
        <v>300</v>
      </c>
      <c r="X10" s="205">
        <v>300</v>
      </c>
      <c r="Y10" s="3"/>
      <c r="Z10" s="3"/>
    </row>
    <row r="11" spans="2:24" s="5" customFormat="1" ht="13.5" thickTop="1">
      <c r="B11" s="208" t="s">
        <v>21</v>
      </c>
      <c r="C11" s="209">
        <v>0</v>
      </c>
      <c r="D11" s="1220"/>
      <c r="E11" s="1220"/>
      <c r="F11" s="1220"/>
      <c r="G11" s="210"/>
      <c r="H11" s="211"/>
      <c r="I11" s="212"/>
      <c r="J11" s="212"/>
      <c r="K11" s="212"/>
      <c r="L11" s="213"/>
      <c r="M11" s="214"/>
      <c r="N11" s="210"/>
      <c r="O11" s="212"/>
      <c r="P11" s="215"/>
      <c r="Q11" s="210"/>
      <c r="R11" s="213"/>
      <c r="S11" s="214"/>
      <c r="T11" s="210"/>
      <c r="U11" s="211"/>
      <c r="V11" s="211"/>
      <c r="W11" s="211"/>
      <c r="X11" s="213"/>
    </row>
    <row r="12" spans="2:24" s="1" customFormat="1" ht="13.5" thickBot="1">
      <c r="B12" s="1122" t="s">
        <v>40</v>
      </c>
      <c r="C12" s="1222"/>
      <c r="D12" s="1221"/>
      <c r="E12" s="1221"/>
      <c r="F12" s="1221"/>
      <c r="G12" s="216"/>
      <c r="H12" s="217"/>
      <c r="I12" s="218"/>
      <c r="J12" s="218"/>
      <c r="K12" s="218"/>
      <c r="L12" s="219"/>
      <c r="M12" s="220"/>
      <c r="N12" s="216"/>
      <c r="O12" s="218"/>
      <c r="P12" s="221"/>
      <c r="Q12" s="216"/>
      <c r="R12" s="219"/>
      <c r="S12" s="220"/>
      <c r="T12" s="216"/>
      <c r="U12" s="222"/>
      <c r="V12" s="222"/>
      <c r="W12" s="222"/>
      <c r="X12" s="219"/>
    </row>
    <row r="13" spans="2:24" s="5" customFormat="1" ht="13.5" thickTop="1">
      <c r="B13" s="1180" t="s">
        <v>67</v>
      </c>
      <c r="C13" s="1181"/>
      <c r="D13" s="1186">
        <v>30</v>
      </c>
      <c r="E13" s="1186">
        <v>3</v>
      </c>
      <c r="F13" s="1189">
        <f>E13/D13</f>
        <v>0.1</v>
      </c>
      <c r="G13" s="210">
        <v>947</v>
      </c>
      <c r="H13" s="211">
        <v>393</v>
      </c>
      <c r="I13" s="211"/>
      <c r="J13" s="211"/>
      <c r="K13" s="211"/>
      <c r="L13" s="213"/>
      <c r="M13" s="214"/>
      <c r="N13" s="210"/>
      <c r="O13" s="211"/>
      <c r="P13" s="213"/>
      <c r="Q13" s="210"/>
      <c r="R13" s="213"/>
      <c r="S13" s="214"/>
      <c r="T13" s="210"/>
      <c r="U13" s="211"/>
      <c r="V13" s="211"/>
      <c r="W13" s="211"/>
      <c r="X13" s="213"/>
    </row>
    <row r="14" spans="1:24" ht="13.5" thickBot="1">
      <c r="A14" s="5"/>
      <c r="B14" s="1184"/>
      <c r="C14" s="1185"/>
      <c r="D14" s="1188"/>
      <c r="E14" s="1188"/>
      <c r="F14" s="1191"/>
      <c r="G14" s="216">
        <v>728</v>
      </c>
      <c r="H14" s="222"/>
      <c r="I14" s="222"/>
      <c r="J14" s="222"/>
      <c r="K14" s="222"/>
      <c r="L14" s="219"/>
      <c r="M14" s="220"/>
      <c r="N14" s="216"/>
      <c r="O14" s="222"/>
      <c r="P14" s="219"/>
      <c r="Q14" s="216"/>
      <c r="R14" s="219"/>
      <c r="S14" s="220"/>
      <c r="T14" s="216"/>
      <c r="U14" s="222"/>
      <c r="V14" s="222"/>
      <c r="W14" s="222"/>
      <c r="X14" s="219"/>
    </row>
    <row r="15" spans="1:24" ht="13.5" thickTop="1">
      <c r="A15" s="5"/>
      <c r="B15" s="1168" t="s">
        <v>68</v>
      </c>
      <c r="C15" s="1169"/>
      <c r="D15" s="1174">
        <v>59</v>
      </c>
      <c r="E15" s="1174">
        <v>13</v>
      </c>
      <c r="F15" s="1177">
        <f>E15/D15</f>
        <v>0.22033898305084745</v>
      </c>
      <c r="G15" s="210">
        <v>623</v>
      </c>
      <c r="H15" s="211">
        <v>654</v>
      </c>
      <c r="I15" s="211">
        <v>109</v>
      </c>
      <c r="J15" s="211"/>
      <c r="K15" s="211"/>
      <c r="L15" s="213">
        <v>231</v>
      </c>
      <c r="M15" s="214">
        <v>618</v>
      </c>
      <c r="N15" s="210">
        <v>670</v>
      </c>
      <c r="O15" s="211"/>
      <c r="P15" s="213"/>
      <c r="Q15" s="210"/>
      <c r="R15" s="213"/>
      <c r="S15" s="214"/>
      <c r="T15" s="210"/>
      <c r="U15" s="211"/>
      <c r="V15" s="211"/>
      <c r="W15" s="211"/>
      <c r="X15" s="213"/>
    </row>
    <row r="16" spans="1:24" ht="12.75">
      <c r="A16" s="5"/>
      <c r="B16" s="1170"/>
      <c r="C16" s="1171"/>
      <c r="D16" s="1175"/>
      <c r="E16" s="1175"/>
      <c r="F16" s="1178"/>
      <c r="G16" s="41">
        <v>155</v>
      </c>
      <c r="H16" s="38">
        <v>255</v>
      </c>
      <c r="I16" s="38">
        <v>401</v>
      </c>
      <c r="J16" s="38"/>
      <c r="K16" s="38"/>
      <c r="L16" s="131">
        <v>279</v>
      </c>
      <c r="M16" s="223"/>
      <c r="N16" s="41"/>
      <c r="O16" s="38"/>
      <c r="P16" s="224"/>
      <c r="Q16" s="37"/>
      <c r="R16" s="224"/>
      <c r="S16" s="223"/>
      <c r="T16" s="41"/>
      <c r="U16" s="38"/>
      <c r="V16" s="38"/>
      <c r="W16" s="38"/>
      <c r="X16" s="131"/>
    </row>
    <row r="17" spans="1:24" ht="12.75">
      <c r="A17" s="5"/>
      <c r="B17" s="1170"/>
      <c r="C17" s="1171"/>
      <c r="D17" s="1175"/>
      <c r="E17" s="1175"/>
      <c r="F17" s="1178"/>
      <c r="G17" s="41">
        <v>583</v>
      </c>
      <c r="H17" s="38">
        <v>819</v>
      </c>
      <c r="I17" s="38"/>
      <c r="J17" s="38"/>
      <c r="K17" s="38"/>
      <c r="L17" s="131"/>
      <c r="M17" s="223"/>
      <c r="N17" s="41"/>
      <c r="O17" s="9"/>
      <c r="P17" s="131"/>
      <c r="Q17" s="41"/>
      <c r="R17" s="131"/>
      <c r="S17" s="223"/>
      <c r="T17" s="41"/>
      <c r="U17" s="9"/>
      <c r="V17" s="9"/>
      <c r="W17" s="9"/>
      <c r="X17" s="131"/>
    </row>
    <row r="18" spans="1:24" ht="13.5" thickBot="1">
      <c r="A18" s="5"/>
      <c r="B18" s="1172"/>
      <c r="C18" s="1173"/>
      <c r="D18" s="1176"/>
      <c r="E18" s="1176"/>
      <c r="F18" s="1179"/>
      <c r="G18" s="225"/>
      <c r="H18" s="218"/>
      <c r="I18" s="218"/>
      <c r="J18" s="218"/>
      <c r="K18" s="218"/>
      <c r="L18" s="219"/>
      <c r="M18" s="220"/>
      <c r="N18" s="216"/>
      <c r="O18" s="222"/>
      <c r="P18" s="219"/>
      <c r="Q18" s="216"/>
      <c r="R18" s="219"/>
      <c r="S18" s="220"/>
      <c r="T18" s="216"/>
      <c r="U18" s="222"/>
      <c r="V18" s="222"/>
      <c r="W18" s="222"/>
      <c r="X18" s="219"/>
    </row>
    <row r="19" spans="1:24" ht="14.25" customHeight="1" thickBot="1" thickTop="1">
      <c r="A19" s="5"/>
      <c r="B19" s="1216" t="s">
        <v>69</v>
      </c>
      <c r="C19" s="1217"/>
      <c r="D19" s="226">
        <v>16</v>
      </c>
      <c r="E19" s="226">
        <v>2</v>
      </c>
      <c r="F19" s="227"/>
      <c r="G19" s="228">
        <v>161</v>
      </c>
      <c r="H19" s="229"/>
      <c r="I19" s="229"/>
      <c r="J19" s="229"/>
      <c r="K19" s="229"/>
      <c r="L19" s="230"/>
      <c r="M19" s="231"/>
      <c r="N19" s="228"/>
      <c r="O19" s="229"/>
      <c r="P19" s="230"/>
      <c r="Q19" s="228"/>
      <c r="R19" s="230"/>
      <c r="S19" s="231">
        <v>752</v>
      </c>
      <c r="T19" s="228"/>
      <c r="U19" s="229"/>
      <c r="V19" s="229"/>
      <c r="W19" s="229"/>
      <c r="X19" s="230"/>
    </row>
    <row r="20" spans="1:24" s="6" customFormat="1" ht="13.5" thickTop="1">
      <c r="A20" s="1"/>
      <c r="B20" s="1168" t="s">
        <v>70</v>
      </c>
      <c r="C20" s="1169"/>
      <c r="D20" s="1174">
        <v>27</v>
      </c>
      <c r="E20" s="1174">
        <v>8</v>
      </c>
      <c r="F20" s="1177">
        <f>E20/D20</f>
        <v>0.2962962962962963</v>
      </c>
      <c r="G20" s="210"/>
      <c r="H20" s="211">
        <v>366</v>
      </c>
      <c r="I20" s="211"/>
      <c r="J20" s="211">
        <v>237</v>
      </c>
      <c r="K20" s="211"/>
      <c r="L20" s="213">
        <v>125</v>
      </c>
      <c r="M20" s="214">
        <v>733</v>
      </c>
      <c r="N20" s="210">
        <v>409</v>
      </c>
      <c r="O20" s="211">
        <v>941</v>
      </c>
      <c r="P20" s="213"/>
      <c r="Q20" s="210"/>
      <c r="R20" s="213"/>
      <c r="S20" s="214"/>
      <c r="T20" s="210"/>
      <c r="U20" s="211">
        <v>143</v>
      </c>
      <c r="V20" s="211"/>
      <c r="W20" s="211"/>
      <c r="X20" s="213"/>
    </row>
    <row r="21" spans="1:24" s="6" customFormat="1" ht="12.75">
      <c r="A21" s="1"/>
      <c r="B21" s="1170"/>
      <c r="C21" s="1171"/>
      <c r="D21" s="1175"/>
      <c r="E21" s="1175"/>
      <c r="F21" s="1178"/>
      <c r="G21" s="41"/>
      <c r="H21" s="84"/>
      <c r="I21" s="9"/>
      <c r="J21" s="9"/>
      <c r="K21" s="9"/>
      <c r="L21" s="131">
        <v>577</v>
      </c>
      <c r="M21" s="223"/>
      <c r="N21" s="41"/>
      <c r="O21" s="9"/>
      <c r="P21" s="131"/>
      <c r="Q21" s="41"/>
      <c r="R21" s="131"/>
      <c r="S21" s="223"/>
      <c r="T21" s="41"/>
      <c r="U21" s="9"/>
      <c r="V21" s="9"/>
      <c r="W21" s="9"/>
      <c r="X21" s="131"/>
    </row>
    <row r="22" spans="1:24" s="6" customFormat="1" ht="13.5" thickBot="1">
      <c r="A22" s="1"/>
      <c r="B22" s="1193"/>
      <c r="C22" s="1194"/>
      <c r="D22" s="1195"/>
      <c r="E22" s="1195"/>
      <c r="F22" s="1196"/>
      <c r="G22" s="216"/>
      <c r="H22" s="222"/>
      <c r="I22" s="222"/>
      <c r="J22" s="222"/>
      <c r="K22" s="222"/>
      <c r="L22" s="219"/>
      <c r="M22" s="220"/>
      <c r="N22" s="216"/>
      <c r="O22" s="222"/>
      <c r="P22" s="219"/>
      <c r="Q22" s="216"/>
      <c r="R22" s="219"/>
      <c r="S22" s="220"/>
      <c r="T22" s="216"/>
      <c r="U22" s="222"/>
      <c r="V22" s="222"/>
      <c r="W22" s="222"/>
      <c r="X22" s="219"/>
    </row>
    <row r="23" spans="2:24" s="5" customFormat="1" ht="12.75">
      <c r="B23" s="1197" t="s">
        <v>71</v>
      </c>
      <c r="C23" s="1198"/>
      <c r="D23" s="1199">
        <v>27</v>
      </c>
      <c r="E23" s="1199">
        <v>11</v>
      </c>
      <c r="F23" s="1200">
        <f>E23/D23</f>
        <v>0.4074074074074074</v>
      </c>
      <c r="G23" s="20">
        <v>944</v>
      </c>
      <c r="H23" s="83"/>
      <c r="I23" s="83"/>
      <c r="J23" s="83"/>
      <c r="K23" s="83"/>
      <c r="L23" s="139">
        <v>750</v>
      </c>
      <c r="M23" s="232"/>
      <c r="N23" s="20">
        <v>274</v>
      </c>
      <c r="O23" s="83"/>
      <c r="P23" s="139"/>
      <c r="Q23" s="20"/>
      <c r="R23" s="139"/>
      <c r="S23" s="232"/>
      <c r="T23" s="20"/>
      <c r="U23" s="83">
        <v>274</v>
      </c>
      <c r="V23" s="83"/>
      <c r="W23" s="83"/>
      <c r="X23" s="139"/>
    </row>
    <row r="24" spans="2:24" s="1" customFormat="1" ht="12.75">
      <c r="B24" s="1170"/>
      <c r="C24" s="1171"/>
      <c r="D24" s="1175"/>
      <c r="E24" s="1175"/>
      <c r="F24" s="1178"/>
      <c r="G24" s="41">
        <v>792</v>
      </c>
      <c r="H24" s="9"/>
      <c r="I24" s="9"/>
      <c r="J24" s="9"/>
      <c r="K24" s="9"/>
      <c r="L24" s="131">
        <v>435</v>
      </c>
      <c r="M24" s="223"/>
      <c r="N24" s="41"/>
      <c r="O24" s="9"/>
      <c r="P24" s="131"/>
      <c r="Q24" s="41"/>
      <c r="R24" s="131"/>
      <c r="S24" s="223"/>
      <c r="T24" s="41"/>
      <c r="U24" s="9">
        <v>152</v>
      </c>
      <c r="V24" s="9"/>
      <c r="W24" s="9"/>
      <c r="X24" s="131"/>
    </row>
    <row r="25" spans="2:24" s="1" customFormat="1" ht="12.75">
      <c r="B25" s="1170"/>
      <c r="C25" s="1171"/>
      <c r="D25" s="1175"/>
      <c r="E25" s="1175"/>
      <c r="F25" s="1178"/>
      <c r="G25" s="41">
        <v>765</v>
      </c>
      <c r="H25" s="9"/>
      <c r="I25" s="9"/>
      <c r="J25" s="9"/>
      <c r="K25" s="9"/>
      <c r="L25" s="131">
        <v>311</v>
      </c>
      <c r="M25" s="223"/>
      <c r="N25" s="41"/>
      <c r="O25" s="9"/>
      <c r="P25" s="131"/>
      <c r="Q25" s="41"/>
      <c r="R25" s="131"/>
      <c r="S25" s="223"/>
      <c r="T25" s="41"/>
      <c r="U25" s="9">
        <v>328</v>
      </c>
      <c r="V25" s="9"/>
      <c r="W25" s="9"/>
      <c r="X25" s="131"/>
    </row>
    <row r="26" spans="2:24" s="1" customFormat="1" ht="13.5" thickBot="1">
      <c r="B26" s="1170"/>
      <c r="C26" s="1171"/>
      <c r="D26" s="1175"/>
      <c r="E26" s="1175"/>
      <c r="F26" s="1178"/>
      <c r="G26" s="233"/>
      <c r="H26" s="90"/>
      <c r="I26" s="90"/>
      <c r="J26" s="90"/>
      <c r="K26" s="90"/>
      <c r="L26" s="140"/>
      <c r="M26" s="234"/>
      <c r="N26" s="87"/>
      <c r="O26" s="90"/>
      <c r="P26" s="140"/>
      <c r="Q26" s="87"/>
      <c r="R26" s="140"/>
      <c r="S26" s="234"/>
      <c r="T26" s="87"/>
      <c r="U26" s="235"/>
      <c r="V26" s="90"/>
      <c r="W26" s="90"/>
      <c r="X26" s="140"/>
    </row>
    <row r="27" spans="1:25" ht="13.5" thickTop="1">
      <c r="A27" s="5"/>
      <c r="B27" s="1168" t="s">
        <v>72</v>
      </c>
      <c r="C27" s="1169"/>
      <c r="D27" s="1174">
        <v>44</v>
      </c>
      <c r="E27" s="1174">
        <v>10</v>
      </c>
      <c r="F27" s="1177">
        <f>E27/D27</f>
        <v>0.22727272727272727</v>
      </c>
      <c r="G27" s="210">
        <v>6</v>
      </c>
      <c r="H27" s="211"/>
      <c r="I27" s="211"/>
      <c r="J27" s="211"/>
      <c r="K27" s="211"/>
      <c r="L27" s="213"/>
      <c r="M27" s="214"/>
      <c r="N27" s="210"/>
      <c r="O27" s="211"/>
      <c r="P27" s="213"/>
      <c r="Q27" s="210"/>
      <c r="R27" s="213"/>
      <c r="S27" s="214">
        <v>921</v>
      </c>
      <c r="T27" s="210"/>
      <c r="U27" s="211">
        <v>551</v>
      </c>
      <c r="V27" s="211"/>
      <c r="W27" s="211"/>
      <c r="X27" s="213">
        <v>66</v>
      </c>
      <c r="Y27" s="1209" t="s">
        <v>73</v>
      </c>
    </row>
    <row r="28" spans="2:25" s="5" customFormat="1" ht="12.75">
      <c r="B28" s="1170"/>
      <c r="C28" s="1171"/>
      <c r="D28" s="1175"/>
      <c r="E28" s="1175"/>
      <c r="F28" s="1178"/>
      <c r="G28" s="41">
        <v>302</v>
      </c>
      <c r="H28" s="9"/>
      <c r="I28" s="9"/>
      <c r="J28" s="9"/>
      <c r="K28" s="9"/>
      <c r="L28" s="131"/>
      <c r="M28" s="223"/>
      <c r="N28" s="41"/>
      <c r="O28" s="9"/>
      <c r="P28" s="131"/>
      <c r="Q28" s="41"/>
      <c r="R28" s="131"/>
      <c r="S28" s="223">
        <v>293</v>
      </c>
      <c r="T28" s="41"/>
      <c r="U28" s="9"/>
      <c r="V28" s="9"/>
      <c r="W28" s="9"/>
      <c r="X28" s="131">
        <v>119</v>
      </c>
      <c r="Y28" s="1209"/>
    </row>
    <row r="29" spans="2:25" s="5" customFormat="1" ht="12.75">
      <c r="B29" s="1170"/>
      <c r="C29" s="1171"/>
      <c r="D29" s="1175"/>
      <c r="E29" s="1175"/>
      <c r="F29" s="1178"/>
      <c r="G29" s="87">
        <v>14</v>
      </c>
      <c r="H29" s="90"/>
      <c r="I29" s="90"/>
      <c r="J29" s="90"/>
      <c r="K29" s="90"/>
      <c r="L29" s="140"/>
      <c r="M29" s="234"/>
      <c r="N29" s="87"/>
      <c r="O29" s="90"/>
      <c r="P29" s="140"/>
      <c r="Q29" s="87"/>
      <c r="R29" s="140"/>
      <c r="S29" s="234"/>
      <c r="T29" s="87"/>
      <c r="U29" s="90"/>
      <c r="V29" s="90"/>
      <c r="W29" s="90"/>
      <c r="X29" s="140">
        <v>107</v>
      </c>
      <c r="Y29" s="1209"/>
    </row>
    <row r="30" spans="2:24" s="5" customFormat="1" ht="12.75">
      <c r="B30" s="1170"/>
      <c r="C30" s="1171"/>
      <c r="D30" s="1175"/>
      <c r="E30" s="1175"/>
      <c r="F30" s="1178"/>
      <c r="G30" s="233"/>
      <c r="H30" s="90"/>
      <c r="I30" s="90"/>
      <c r="J30" s="90"/>
      <c r="K30" s="90"/>
      <c r="L30" s="140"/>
      <c r="M30" s="234"/>
      <c r="N30" s="87"/>
      <c r="O30" s="90"/>
      <c r="P30" s="140"/>
      <c r="Q30" s="87"/>
      <c r="R30" s="140"/>
      <c r="S30" s="234"/>
      <c r="T30" s="87"/>
      <c r="U30" s="90"/>
      <c r="V30" s="90"/>
      <c r="W30" s="90"/>
      <c r="X30" s="140"/>
    </row>
    <row r="31" spans="2:24" s="5" customFormat="1" ht="13.5" thickBot="1">
      <c r="B31" s="1172"/>
      <c r="C31" s="1173"/>
      <c r="D31" s="1176"/>
      <c r="E31" s="1176"/>
      <c r="F31" s="1179"/>
      <c r="G31" s="225"/>
      <c r="H31" s="222"/>
      <c r="I31" s="222"/>
      <c r="J31" s="222"/>
      <c r="K31" s="222"/>
      <c r="L31" s="219"/>
      <c r="M31" s="220"/>
      <c r="N31" s="216"/>
      <c r="O31" s="222"/>
      <c r="P31" s="219"/>
      <c r="Q31" s="216"/>
      <c r="R31" s="219"/>
      <c r="S31" s="220"/>
      <c r="T31" s="216"/>
      <c r="U31" s="222"/>
      <c r="V31" s="222"/>
      <c r="W31" s="222"/>
      <c r="X31" s="219"/>
    </row>
    <row r="32" spans="2:24" s="5" customFormat="1" ht="13.5" thickTop="1">
      <c r="B32" s="1210" t="s">
        <v>74</v>
      </c>
      <c r="C32" s="1211"/>
      <c r="D32" s="1174">
        <v>21</v>
      </c>
      <c r="E32" s="1174">
        <v>4</v>
      </c>
      <c r="F32" s="1177">
        <f>E32/D32</f>
        <v>0.19047619047619047</v>
      </c>
      <c r="G32" s="210">
        <v>962</v>
      </c>
      <c r="H32" s="211">
        <v>289</v>
      </c>
      <c r="I32" s="211"/>
      <c r="J32" s="211"/>
      <c r="K32" s="211"/>
      <c r="L32" s="213"/>
      <c r="M32" s="214">
        <v>356</v>
      </c>
      <c r="N32" s="210"/>
      <c r="O32" s="211"/>
      <c r="P32" s="213"/>
      <c r="Q32" s="210"/>
      <c r="R32" s="213"/>
      <c r="S32" s="214"/>
      <c r="T32" s="210"/>
      <c r="U32" s="211">
        <v>304</v>
      </c>
      <c r="V32" s="211"/>
      <c r="W32" s="211"/>
      <c r="X32" s="213"/>
    </row>
    <row r="33" spans="2:24" s="1" customFormat="1" ht="13.5" thickBot="1">
      <c r="B33" s="1212"/>
      <c r="C33" s="1213"/>
      <c r="D33" s="1214"/>
      <c r="E33" s="1214"/>
      <c r="F33" s="1215"/>
      <c r="G33" s="216"/>
      <c r="H33" s="222"/>
      <c r="I33" s="222"/>
      <c r="J33" s="222"/>
      <c r="K33" s="222"/>
      <c r="L33" s="219"/>
      <c r="M33" s="220"/>
      <c r="N33" s="216"/>
      <c r="O33" s="222"/>
      <c r="P33" s="219"/>
      <c r="Q33" s="216"/>
      <c r="R33" s="219"/>
      <c r="S33" s="220"/>
      <c r="T33" s="216"/>
      <c r="U33" s="222"/>
      <c r="V33" s="222"/>
      <c r="W33" s="222"/>
      <c r="X33" s="219"/>
    </row>
    <row r="34" spans="1:24" ht="13.5" thickTop="1">
      <c r="A34" s="5"/>
      <c r="B34" s="1168" t="s">
        <v>75</v>
      </c>
      <c r="C34" s="1169"/>
      <c r="D34" s="1174">
        <v>25</v>
      </c>
      <c r="E34" s="1174">
        <v>6</v>
      </c>
      <c r="F34" s="1177">
        <f>E34/D34</f>
        <v>0.24</v>
      </c>
      <c r="G34" s="210"/>
      <c r="H34" s="211"/>
      <c r="I34" s="211"/>
      <c r="J34" s="211"/>
      <c r="K34" s="211"/>
      <c r="L34" s="213"/>
      <c r="M34" s="214">
        <v>298</v>
      </c>
      <c r="N34" s="210"/>
      <c r="O34" s="211">
        <v>442</v>
      </c>
      <c r="P34" s="213"/>
      <c r="Q34" s="210">
        <v>275</v>
      </c>
      <c r="R34" s="213"/>
      <c r="S34" s="214"/>
      <c r="T34" s="210">
        <v>314</v>
      </c>
      <c r="U34" s="211">
        <v>379</v>
      </c>
      <c r="V34" s="211"/>
      <c r="W34" s="211"/>
      <c r="X34" s="213"/>
    </row>
    <row r="35" spans="1:24" ht="13.5" thickBot="1">
      <c r="A35" s="5"/>
      <c r="B35" s="1172"/>
      <c r="C35" s="1173"/>
      <c r="D35" s="1176"/>
      <c r="E35" s="1176"/>
      <c r="F35" s="1179"/>
      <c r="G35" s="216"/>
      <c r="H35" s="222"/>
      <c r="I35" s="222"/>
      <c r="J35" s="222"/>
      <c r="K35" s="222"/>
      <c r="L35" s="219"/>
      <c r="M35" s="220">
        <v>542</v>
      </c>
      <c r="N35" s="216"/>
      <c r="O35" s="222"/>
      <c r="P35" s="219"/>
      <c r="Q35" s="216"/>
      <c r="R35" s="219"/>
      <c r="S35" s="220"/>
      <c r="T35" s="216"/>
      <c r="U35" s="222"/>
      <c r="V35" s="222"/>
      <c r="W35" s="222"/>
      <c r="X35" s="219"/>
    </row>
    <row r="36" spans="2:24" s="5" customFormat="1" ht="13.5" thickTop="1">
      <c r="B36" s="1180" t="s">
        <v>76</v>
      </c>
      <c r="C36" s="1181"/>
      <c r="D36" s="1186">
        <v>32</v>
      </c>
      <c r="E36" s="1186">
        <v>9</v>
      </c>
      <c r="F36" s="1189">
        <f>E36/D36</f>
        <v>0.28125</v>
      </c>
      <c r="G36" s="210">
        <v>406</v>
      </c>
      <c r="H36" s="211"/>
      <c r="I36" s="211"/>
      <c r="J36" s="211">
        <v>280</v>
      </c>
      <c r="K36" s="211">
        <v>593</v>
      </c>
      <c r="L36" s="213"/>
      <c r="M36" s="214">
        <v>72</v>
      </c>
      <c r="N36" s="210"/>
      <c r="O36" s="211"/>
      <c r="P36" s="213"/>
      <c r="Q36" s="210">
        <v>124</v>
      </c>
      <c r="R36" s="213">
        <v>439</v>
      </c>
      <c r="S36" s="214"/>
      <c r="T36" s="210"/>
      <c r="U36" s="211">
        <v>593</v>
      </c>
      <c r="V36" s="211"/>
      <c r="W36" s="211"/>
      <c r="X36" s="213"/>
    </row>
    <row r="37" spans="2:24" s="1" customFormat="1" ht="12.75">
      <c r="B37" s="1182"/>
      <c r="C37" s="1183"/>
      <c r="D37" s="1187"/>
      <c r="E37" s="1187"/>
      <c r="F37" s="1190"/>
      <c r="G37" s="41">
        <v>256</v>
      </c>
      <c r="H37" s="9"/>
      <c r="I37" s="9"/>
      <c r="J37" s="9"/>
      <c r="K37" s="9"/>
      <c r="L37" s="131"/>
      <c r="M37" s="223">
        <v>779</v>
      </c>
      <c r="N37" s="41"/>
      <c r="O37" s="9"/>
      <c r="P37" s="131"/>
      <c r="Q37" s="41">
        <v>593</v>
      </c>
      <c r="R37" s="131"/>
      <c r="S37" s="223"/>
      <c r="T37" s="41"/>
      <c r="U37" s="9"/>
      <c r="V37" s="9"/>
      <c r="W37" s="9"/>
      <c r="X37" s="131"/>
    </row>
    <row r="38" spans="2:24" s="1" customFormat="1" ht="12.75">
      <c r="B38" s="1182"/>
      <c r="C38" s="1183"/>
      <c r="D38" s="1187"/>
      <c r="E38" s="1187"/>
      <c r="F38" s="1190"/>
      <c r="G38" s="41">
        <v>760</v>
      </c>
      <c r="H38" s="9"/>
      <c r="I38" s="9"/>
      <c r="J38" s="9"/>
      <c r="K38" s="9"/>
      <c r="L38" s="131"/>
      <c r="M38" s="223"/>
      <c r="N38" s="41"/>
      <c r="O38" s="9"/>
      <c r="P38" s="131"/>
      <c r="Q38" s="41"/>
      <c r="R38" s="131"/>
      <c r="S38" s="223"/>
      <c r="T38" s="41"/>
      <c r="U38" s="9"/>
      <c r="V38" s="9"/>
      <c r="W38" s="9"/>
      <c r="X38" s="131"/>
    </row>
    <row r="39" spans="2:24" s="1" customFormat="1" ht="13.5" thickBot="1">
      <c r="B39" s="1184"/>
      <c r="C39" s="1185"/>
      <c r="D39" s="1188"/>
      <c r="E39" s="1188"/>
      <c r="F39" s="1191"/>
      <c r="G39" s="225"/>
      <c r="H39" s="222"/>
      <c r="I39" s="222"/>
      <c r="J39" s="222"/>
      <c r="K39" s="222"/>
      <c r="L39" s="219"/>
      <c r="M39" s="220"/>
      <c r="N39" s="216"/>
      <c r="O39" s="222"/>
      <c r="P39" s="219"/>
      <c r="Q39" s="216"/>
      <c r="R39" s="219"/>
      <c r="S39" s="220"/>
      <c r="T39" s="216"/>
      <c r="U39" s="222"/>
      <c r="V39" s="222"/>
      <c r="W39" s="222"/>
      <c r="X39" s="219"/>
    </row>
    <row r="40" spans="2:24" s="5" customFormat="1" ht="13.5" thickTop="1">
      <c r="B40" s="1168" t="s">
        <v>77</v>
      </c>
      <c r="C40" s="1169"/>
      <c r="D40" s="1174">
        <v>9</v>
      </c>
      <c r="E40" s="1174">
        <v>3</v>
      </c>
      <c r="F40" s="1177">
        <f>E40/D40</f>
        <v>0.3333333333333333</v>
      </c>
      <c r="G40" s="210"/>
      <c r="H40" s="211">
        <v>20</v>
      </c>
      <c r="I40" s="211"/>
      <c r="J40" s="211"/>
      <c r="K40" s="211"/>
      <c r="L40" s="213"/>
      <c r="M40" s="214">
        <v>85</v>
      </c>
      <c r="N40" s="210"/>
      <c r="O40" s="211">
        <v>681</v>
      </c>
      <c r="P40" s="213"/>
      <c r="Q40" s="210"/>
      <c r="R40" s="213"/>
      <c r="S40" s="214"/>
      <c r="T40" s="210"/>
      <c r="U40" s="211">
        <v>563</v>
      </c>
      <c r="V40" s="211"/>
      <c r="W40" s="211"/>
      <c r="X40" s="213"/>
    </row>
    <row r="41" spans="2:24" s="1" customFormat="1" ht="13.5" thickBot="1">
      <c r="B41" s="1172"/>
      <c r="C41" s="1173"/>
      <c r="D41" s="1176"/>
      <c r="E41" s="1176"/>
      <c r="F41" s="1179"/>
      <c r="G41" s="216"/>
      <c r="H41" s="217"/>
      <c r="I41" s="222"/>
      <c r="J41" s="222"/>
      <c r="K41" s="222"/>
      <c r="L41" s="219"/>
      <c r="M41" s="220"/>
      <c r="N41" s="216"/>
      <c r="O41" s="222"/>
      <c r="P41" s="219"/>
      <c r="Q41" s="216"/>
      <c r="R41" s="219"/>
      <c r="S41" s="220"/>
      <c r="T41" s="216"/>
      <c r="U41" s="222"/>
      <c r="V41" s="222"/>
      <c r="W41" s="222"/>
      <c r="X41" s="219"/>
    </row>
    <row r="42" spans="2:24" s="5" customFormat="1" ht="13.5" thickTop="1">
      <c r="B42" s="1201" t="s">
        <v>78</v>
      </c>
      <c r="C42" s="1202"/>
      <c r="D42" s="1205">
        <v>35</v>
      </c>
      <c r="E42" s="1205">
        <v>8</v>
      </c>
      <c r="F42" s="1207">
        <f>E42/D42</f>
        <v>0.22857142857142856</v>
      </c>
      <c r="G42" s="210"/>
      <c r="H42" s="211">
        <v>59</v>
      </c>
      <c r="I42" s="211"/>
      <c r="J42" s="211"/>
      <c r="K42" s="211"/>
      <c r="L42" s="213"/>
      <c r="M42" s="214">
        <v>702</v>
      </c>
      <c r="N42" s="210"/>
      <c r="O42" s="211"/>
      <c r="P42" s="213"/>
      <c r="Q42" s="210"/>
      <c r="R42" s="213"/>
      <c r="S42" s="214"/>
      <c r="T42" s="210">
        <v>1000</v>
      </c>
      <c r="U42" s="211">
        <v>526</v>
      </c>
      <c r="V42" s="211"/>
      <c r="W42" s="211"/>
      <c r="X42" s="213"/>
    </row>
    <row r="43" spans="2:24" s="5" customFormat="1" ht="12.75">
      <c r="B43" s="1203"/>
      <c r="C43" s="1204"/>
      <c r="D43" s="1206"/>
      <c r="E43" s="1206"/>
      <c r="F43" s="1208"/>
      <c r="G43" s="41"/>
      <c r="H43" s="9"/>
      <c r="I43" s="9"/>
      <c r="J43" s="9"/>
      <c r="K43" s="9"/>
      <c r="L43" s="131"/>
      <c r="M43" s="223"/>
      <c r="N43" s="41"/>
      <c r="O43" s="9"/>
      <c r="P43" s="131"/>
      <c r="Q43" s="41"/>
      <c r="R43" s="131"/>
      <c r="S43" s="223"/>
      <c r="T43" s="41"/>
      <c r="U43" s="9">
        <v>105</v>
      </c>
      <c r="V43" s="9"/>
      <c r="W43" s="9"/>
      <c r="X43" s="131"/>
    </row>
    <row r="44" spans="2:24" s="5" customFormat="1" ht="12.75">
      <c r="B44" s="1203"/>
      <c r="C44" s="1204"/>
      <c r="D44" s="1206"/>
      <c r="E44" s="1206"/>
      <c r="F44" s="1208"/>
      <c r="G44" s="41"/>
      <c r="H44" s="9"/>
      <c r="I44" s="9"/>
      <c r="J44" s="9"/>
      <c r="K44" s="9"/>
      <c r="L44" s="131"/>
      <c r="M44" s="223"/>
      <c r="N44" s="41"/>
      <c r="O44" s="9"/>
      <c r="P44" s="131"/>
      <c r="Q44" s="41"/>
      <c r="R44" s="131"/>
      <c r="S44" s="223"/>
      <c r="T44" s="41"/>
      <c r="U44" s="9">
        <v>104</v>
      </c>
      <c r="V44" s="9"/>
      <c r="W44" s="9"/>
      <c r="X44" s="131"/>
    </row>
    <row r="45" spans="2:24" s="5" customFormat="1" ht="12.75">
      <c r="B45" s="1203"/>
      <c r="C45" s="1204"/>
      <c r="D45" s="1206"/>
      <c r="E45" s="1206"/>
      <c r="F45" s="1208"/>
      <c r="G45" s="41"/>
      <c r="H45" s="9"/>
      <c r="I45" s="9"/>
      <c r="J45" s="9"/>
      <c r="K45" s="9"/>
      <c r="L45" s="131"/>
      <c r="M45" s="223"/>
      <c r="N45" s="41"/>
      <c r="O45" s="9"/>
      <c r="P45" s="131"/>
      <c r="Q45" s="41"/>
      <c r="R45" s="131"/>
      <c r="S45" s="223"/>
      <c r="T45" s="41"/>
      <c r="U45" s="9">
        <v>586</v>
      </c>
      <c r="V45" s="9"/>
      <c r="W45" s="9"/>
      <c r="X45" s="131"/>
    </row>
    <row r="46" spans="2:24" s="5" customFormat="1" ht="13.5" thickBot="1">
      <c r="B46" s="1203"/>
      <c r="C46" s="1204"/>
      <c r="D46" s="1206"/>
      <c r="E46" s="1206"/>
      <c r="F46" s="1208"/>
      <c r="G46" s="41"/>
      <c r="H46" s="9"/>
      <c r="I46" s="9"/>
      <c r="J46" s="9"/>
      <c r="K46" s="9"/>
      <c r="L46" s="131"/>
      <c r="M46" s="223"/>
      <c r="N46" s="41"/>
      <c r="O46" s="9"/>
      <c r="P46" s="131"/>
      <c r="Q46" s="41"/>
      <c r="R46" s="131"/>
      <c r="S46" s="223"/>
      <c r="T46" s="41"/>
      <c r="U46" s="9">
        <v>795</v>
      </c>
      <c r="V46" s="9"/>
      <c r="W46" s="9"/>
      <c r="X46" s="131"/>
    </row>
    <row r="47" spans="2:24" s="5" customFormat="1" ht="13.5" thickTop="1">
      <c r="B47" s="1180" t="s">
        <v>79</v>
      </c>
      <c r="C47" s="1181"/>
      <c r="D47" s="1186">
        <v>44</v>
      </c>
      <c r="E47" s="1186">
        <v>27</v>
      </c>
      <c r="F47" s="1189">
        <f>E47/D47</f>
        <v>0.6136363636363636</v>
      </c>
      <c r="G47" s="210">
        <v>621</v>
      </c>
      <c r="H47" s="211">
        <v>64</v>
      </c>
      <c r="I47" s="211">
        <v>193</v>
      </c>
      <c r="J47" s="211">
        <v>465</v>
      </c>
      <c r="K47" s="211">
        <v>479</v>
      </c>
      <c r="L47" s="213">
        <v>209</v>
      </c>
      <c r="M47" s="214">
        <v>33</v>
      </c>
      <c r="N47" s="210">
        <v>282</v>
      </c>
      <c r="O47" s="211">
        <v>195</v>
      </c>
      <c r="P47" s="213">
        <v>229</v>
      </c>
      <c r="Q47" s="210">
        <v>238</v>
      </c>
      <c r="R47" s="213">
        <v>690</v>
      </c>
      <c r="S47" s="214">
        <v>123</v>
      </c>
      <c r="T47" s="210">
        <v>574</v>
      </c>
      <c r="U47" s="211">
        <v>646</v>
      </c>
      <c r="V47" s="211"/>
      <c r="W47" s="236"/>
      <c r="X47" s="213"/>
    </row>
    <row r="48" spans="1:24" ht="12.75">
      <c r="A48" s="5"/>
      <c r="B48" s="1182"/>
      <c r="C48" s="1183"/>
      <c r="D48" s="1187"/>
      <c r="E48" s="1187"/>
      <c r="F48" s="1190"/>
      <c r="G48" s="41">
        <v>112</v>
      </c>
      <c r="H48" s="9"/>
      <c r="I48" s="9">
        <v>86</v>
      </c>
      <c r="J48" s="9"/>
      <c r="K48" s="9">
        <v>229</v>
      </c>
      <c r="L48" s="131"/>
      <c r="M48" s="223"/>
      <c r="N48" s="41">
        <v>153</v>
      </c>
      <c r="O48" s="237"/>
      <c r="P48" s="131"/>
      <c r="Q48" s="41">
        <v>86</v>
      </c>
      <c r="R48" s="131"/>
      <c r="S48" s="223">
        <v>33</v>
      </c>
      <c r="T48" s="41">
        <v>464</v>
      </c>
      <c r="U48" s="9">
        <v>282</v>
      </c>
      <c r="V48" s="9"/>
      <c r="W48" s="9">
        <v>660</v>
      </c>
      <c r="X48" s="131"/>
    </row>
    <row r="49" spans="1:24" ht="13.5" thickBot="1">
      <c r="A49" s="5"/>
      <c r="B49" s="1184"/>
      <c r="C49" s="1185"/>
      <c r="D49" s="1188"/>
      <c r="E49" s="1188"/>
      <c r="F49" s="1191"/>
      <c r="G49" s="216"/>
      <c r="H49" s="222"/>
      <c r="I49" s="222"/>
      <c r="J49" s="222"/>
      <c r="K49" s="222">
        <v>798</v>
      </c>
      <c r="L49" s="219"/>
      <c r="M49" s="220"/>
      <c r="N49" s="216">
        <v>660</v>
      </c>
      <c r="O49" s="238"/>
      <c r="P49" s="219"/>
      <c r="Q49" s="216">
        <v>798</v>
      </c>
      <c r="R49" s="219"/>
      <c r="S49" s="220">
        <v>465</v>
      </c>
      <c r="T49" s="216"/>
      <c r="U49" s="222">
        <v>798</v>
      </c>
      <c r="V49" s="222"/>
      <c r="W49" s="222"/>
      <c r="X49" s="219"/>
    </row>
    <row r="50" spans="2:24" s="5" customFormat="1" ht="13.5" thickTop="1">
      <c r="B50" s="1180" t="s">
        <v>80</v>
      </c>
      <c r="C50" s="1181"/>
      <c r="D50" s="1186">
        <v>35</v>
      </c>
      <c r="E50" s="1186">
        <v>14</v>
      </c>
      <c r="F50" s="1189">
        <f>E50/D50</f>
        <v>0.4</v>
      </c>
      <c r="G50" s="210">
        <v>746</v>
      </c>
      <c r="H50" s="211">
        <v>3</v>
      </c>
      <c r="I50" s="211"/>
      <c r="J50" s="211"/>
      <c r="K50" s="211"/>
      <c r="L50" s="213">
        <v>517</v>
      </c>
      <c r="M50" s="214">
        <v>254</v>
      </c>
      <c r="N50" s="210">
        <v>503</v>
      </c>
      <c r="O50" s="211"/>
      <c r="P50" s="213"/>
      <c r="Q50" s="210"/>
      <c r="R50" s="213">
        <v>10</v>
      </c>
      <c r="S50" s="214">
        <v>55</v>
      </c>
      <c r="T50" s="210"/>
      <c r="U50" s="211"/>
      <c r="V50" s="211"/>
      <c r="W50" s="211"/>
      <c r="X50" s="213"/>
    </row>
    <row r="51" spans="2:24" s="1" customFormat="1" ht="12.75">
      <c r="B51" s="1182"/>
      <c r="C51" s="1183"/>
      <c r="D51" s="1187"/>
      <c r="E51" s="1187"/>
      <c r="F51" s="1190"/>
      <c r="G51" s="41">
        <v>744</v>
      </c>
      <c r="H51" s="9">
        <v>584</v>
      </c>
      <c r="I51" s="9"/>
      <c r="J51" s="9"/>
      <c r="K51" s="9"/>
      <c r="L51" s="131">
        <v>718</v>
      </c>
      <c r="M51" s="223"/>
      <c r="N51" s="41"/>
      <c r="O51" s="9"/>
      <c r="P51" s="131"/>
      <c r="Q51" s="41"/>
      <c r="R51" s="131">
        <v>160</v>
      </c>
      <c r="S51" s="223">
        <v>697</v>
      </c>
      <c r="T51" s="41"/>
      <c r="U51" s="9"/>
      <c r="V51" s="9"/>
      <c r="W51" s="9"/>
      <c r="X51" s="131"/>
    </row>
    <row r="52" spans="2:24" s="1" customFormat="1" ht="13.5" thickBot="1">
      <c r="B52" s="1184"/>
      <c r="C52" s="1185"/>
      <c r="D52" s="1188"/>
      <c r="E52" s="1188"/>
      <c r="F52" s="1191"/>
      <c r="G52" s="216"/>
      <c r="H52" s="222"/>
      <c r="I52" s="222"/>
      <c r="J52" s="222"/>
      <c r="K52" s="222"/>
      <c r="L52" s="219"/>
      <c r="M52" s="220"/>
      <c r="N52" s="216"/>
      <c r="O52" s="222"/>
      <c r="P52" s="219"/>
      <c r="Q52" s="216"/>
      <c r="R52" s="219">
        <v>278</v>
      </c>
      <c r="S52" s="220">
        <v>361</v>
      </c>
      <c r="T52" s="216"/>
      <c r="U52" s="222"/>
      <c r="V52" s="222"/>
      <c r="W52" s="222"/>
      <c r="X52" s="219"/>
    </row>
    <row r="53" spans="2:24" s="5" customFormat="1" ht="13.5" thickTop="1">
      <c r="B53" s="1192" t="s">
        <v>81</v>
      </c>
      <c r="C53" s="1171"/>
      <c r="D53" s="1175">
        <v>17</v>
      </c>
      <c r="E53" s="1175">
        <v>5</v>
      </c>
      <c r="F53" s="1178">
        <f>E53/D53</f>
        <v>0.29411764705882354</v>
      </c>
      <c r="G53" s="20">
        <v>245</v>
      </c>
      <c r="H53" s="83"/>
      <c r="I53" s="83">
        <v>821</v>
      </c>
      <c r="J53" s="83"/>
      <c r="K53" s="83"/>
      <c r="L53" s="139"/>
      <c r="M53" s="232"/>
      <c r="N53" s="20">
        <v>305</v>
      </c>
      <c r="O53" s="83"/>
      <c r="P53" s="139"/>
      <c r="Q53" s="20"/>
      <c r="R53" s="139">
        <v>613</v>
      </c>
      <c r="S53" s="232"/>
      <c r="T53" s="20"/>
      <c r="U53" s="83"/>
      <c r="V53" s="83"/>
      <c r="W53" s="83"/>
      <c r="X53" s="139"/>
    </row>
    <row r="54" spans="1:24" s="6" customFormat="1" ht="13.5" thickBot="1">
      <c r="A54" s="1"/>
      <c r="B54" s="1193"/>
      <c r="C54" s="1194"/>
      <c r="D54" s="1195"/>
      <c r="E54" s="1195"/>
      <c r="F54" s="1196"/>
      <c r="G54" s="216"/>
      <c r="H54" s="217"/>
      <c r="I54" s="222">
        <v>946</v>
      </c>
      <c r="J54" s="222"/>
      <c r="K54" s="222"/>
      <c r="L54" s="219"/>
      <c r="M54" s="220"/>
      <c r="N54" s="216"/>
      <c r="O54" s="222"/>
      <c r="P54" s="219"/>
      <c r="Q54" s="216"/>
      <c r="R54" s="219"/>
      <c r="S54" s="220"/>
      <c r="T54" s="216"/>
      <c r="U54" s="222"/>
      <c r="V54" s="222"/>
      <c r="W54" s="222"/>
      <c r="X54" s="219"/>
    </row>
    <row r="55" spans="2:24" s="5" customFormat="1" ht="13.5" thickTop="1">
      <c r="B55" s="1197" t="s">
        <v>82</v>
      </c>
      <c r="C55" s="1198"/>
      <c r="D55" s="1199">
        <v>20</v>
      </c>
      <c r="E55" s="1199">
        <v>4</v>
      </c>
      <c r="F55" s="1200">
        <f>E55/D55</f>
        <v>0.2</v>
      </c>
      <c r="G55" s="210">
        <v>585</v>
      </c>
      <c r="H55" s="211"/>
      <c r="I55" s="211">
        <v>732</v>
      </c>
      <c r="J55" s="211"/>
      <c r="K55" s="211"/>
      <c r="L55" s="213"/>
      <c r="M55" s="214"/>
      <c r="N55" s="210"/>
      <c r="O55" s="211"/>
      <c r="P55" s="213"/>
      <c r="Q55" s="210"/>
      <c r="R55" s="213"/>
      <c r="S55" s="214"/>
      <c r="T55" s="210"/>
      <c r="U55" s="211"/>
      <c r="V55" s="211"/>
      <c r="W55" s="211"/>
      <c r="X55" s="213"/>
    </row>
    <row r="56" spans="1:24" s="6" customFormat="1" ht="13.5" thickBot="1">
      <c r="A56" s="1"/>
      <c r="B56" s="1170"/>
      <c r="C56" s="1171"/>
      <c r="D56" s="1175"/>
      <c r="E56" s="1175"/>
      <c r="F56" s="1178"/>
      <c r="G56" s="216">
        <v>136</v>
      </c>
      <c r="H56" s="217"/>
      <c r="I56" s="222">
        <v>751</v>
      </c>
      <c r="J56" s="222"/>
      <c r="K56" s="222"/>
      <c r="L56" s="219"/>
      <c r="M56" s="220"/>
      <c r="N56" s="216"/>
      <c r="O56" s="222"/>
      <c r="P56" s="219"/>
      <c r="Q56" s="216"/>
      <c r="R56" s="219"/>
      <c r="S56" s="220"/>
      <c r="T56" s="216"/>
      <c r="U56" s="222"/>
      <c r="V56" s="222"/>
      <c r="W56" s="222"/>
      <c r="X56" s="219"/>
    </row>
    <row r="57" spans="2:24" s="5" customFormat="1" ht="13.5" thickTop="1">
      <c r="B57" s="1180" t="s">
        <v>83</v>
      </c>
      <c r="C57" s="1181"/>
      <c r="D57" s="1186">
        <v>30</v>
      </c>
      <c r="E57" s="1186">
        <v>8</v>
      </c>
      <c r="F57" s="1189">
        <f>E57/D57</f>
        <v>0.26666666666666666</v>
      </c>
      <c r="G57" s="210">
        <v>986</v>
      </c>
      <c r="H57" s="211">
        <v>114</v>
      </c>
      <c r="I57" s="211">
        <v>390</v>
      </c>
      <c r="J57" s="211">
        <v>284</v>
      </c>
      <c r="K57" s="211"/>
      <c r="L57" s="213"/>
      <c r="M57" s="214"/>
      <c r="N57" s="210">
        <v>17</v>
      </c>
      <c r="O57" s="211"/>
      <c r="P57" s="213"/>
      <c r="Q57" s="210"/>
      <c r="R57" s="213"/>
      <c r="S57" s="214"/>
      <c r="T57" s="210"/>
      <c r="U57" s="211"/>
      <c r="V57" s="211"/>
      <c r="W57" s="211">
        <v>70</v>
      </c>
      <c r="X57" s="213"/>
    </row>
    <row r="58" spans="2:24" s="1" customFormat="1" ht="13.5" thickBot="1">
      <c r="B58" s="1184"/>
      <c r="C58" s="1185"/>
      <c r="D58" s="1188"/>
      <c r="E58" s="1188"/>
      <c r="F58" s="1191"/>
      <c r="G58" s="216">
        <v>262</v>
      </c>
      <c r="H58" s="217">
        <v>211</v>
      </c>
      <c r="I58" s="222"/>
      <c r="J58" s="222"/>
      <c r="K58" s="222"/>
      <c r="L58" s="219"/>
      <c r="M58" s="220"/>
      <c r="N58" s="216"/>
      <c r="O58" s="222"/>
      <c r="P58" s="219"/>
      <c r="Q58" s="216"/>
      <c r="R58" s="219"/>
      <c r="S58" s="220"/>
      <c r="T58" s="216"/>
      <c r="U58" s="222"/>
      <c r="V58" s="222"/>
      <c r="W58" s="222"/>
      <c r="X58" s="219"/>
    </row>
    <row r="59" spans="2:25" s="1" customFormat="1" ht="13.5" thickTop="1">
      <c r="B59" s="1180" t="s">
        <v>84</v>
      </c>
      <c r="C59" s="1181"/>
      <c r="D59" s="1186">
        <v>23</v>
      </c>
      <c r="E59" s="1186">
        <v>11</v>
      </c>
      <c r="F59" s="1189">
        <f>E59/D59</f>
        <v>0.4782608695652174</v>
      </c>
      <c r="G59" s="210">
        <v>772</v>
      </c>
      <c r="H59" s="211">
        <v>835</v>
      </c>
      <c r="I59" s="211">
        <v>936</v>
      </c>
      <c r="J59" s="211"/>
      <c r="K59" s="211"/>
      <c r="L59" s="213">
        <v>30</v>
      </c>
      <c r="M59" s="214">
        <v>41</v>
      </c>
      <c r="N59" s="210"/>
      <c r="O59" s="211"/>
      <c r="P59" s="213"/>
      <c r="Q59" s="210"/>
      <c r="R59" s="213"/>
      <c r="S59" s="214"/>
      <c r="T59" s="210">
        <v>345</v>
      </c>
      <c r="U59" s="211"/>
      <c r="V59" s="211"/>
      <c r="W59" s="211"/>
      <c r="X59" s="213"/>
      <c r="Y59" s="239"/>
    </row>
    <row r="60" spans="2:25" s="1" customFormat="1" ht="12.75">
      <c r="B60" s="1182"/>
      <c r="C60" s="1183"/>
      <c r="D60" s="1187"/>
      <c r="E60" s="1187"/>
      <c r="F60" s="1190"/>
      <c r="G60" s="41">
        <v>108</v>
      </c>
      <c r="H60" s="9">
        <v>715</v>
      </c>
      <c r="I60" s="9">
        <v>348</v>
      </c>
      <c r="J60" s="9"/>
      <c r="K60" s="9"/>
      <c r="L60" s="131"/>
      <c r="M60" s="223"/>
      <c r="N60" s="41"/>
      <c r="O60" s="9"/>
      <c r="P60" s="131"/>
      <c r="Q60" s="41"/>
      <c r="R60" s="131"/>
      <c r="S60" s="223"/>
      <c r="T60" s="41"/>
      <c r="U60" s="9"/>
      <c r="V60" s="9"/>
      <c r="W60" s="9"/>
      <c r="X60" s="131"/>
      <c r="Y60" s="239"/>
    </row>
    <row r="61" spans="2:25" s="1" customFormat="1" ht="12.75">
      <c r="B61" s="1182"/>
      <c r="C61" s="1183"/>
      <c r="D61" s="1187"/>
      <c r="E61" s="1187"/>
      <c r="F61" s="1190"/>
      <c r="G61" s="41">
        <v>421</v>
      </c>
      <c r="H61" s="9"/>
      <c r="I61" s="9"/>
      <c r="J61" s="9"/>
      <c r="K61" s="9"/>
      <c r="L61" s="131"/>
      <c r="M61" s="223"/>
      <c r="N61" s="41"/>
      <c r="O61" s="9"/>
      <c r="P61" s="131"/>
      <c r="Q61" s="41"/>
      <c r="R61" s="131"/>
      <c r="S61" s="223"/>
      <c r="T61" s="41"/>
      <c r="U61" s="9"/>
      <c r="V61" s="9"/>
      <c r="W61" s="9"/>
      <c r="X61" s="131"/>
      <c r="Y61" s="239"/>
    </row>
    <row r="62" spans="2:25" s="1" customFormat="1" ht="13.5" thickBot="1">
      <c r="B62" s="1184"/>
      <c r="C62" s="1185"/>
      <c r="D62" s="1188"/>
      <c r="E62" s="1188"/>
      <c r="F62" s="1191"/>
      <c r="G62" s="225"/>
      <c r="H62" s="222"/>
      <c r="I62" s="240"/>
      <c r="J62" s="222"/>
      <c r="K62" s="222"/>
      <c r="L62" s="219"/>
      <c r="M62" s="220"/>
      <c r="N62" s="216"/>
      <c r="O62" s="222"/>
      <c r="P62" s="219"/>
      <c r="Q62" s="216"/>
      <c r="R62" s="219"/>
      <c r="S62" s="220"/>
      <c r="T62" s="216"/>
      <c r="U62" s="222"/>
      <c r="V62" s="222"/>
      <c r="W62" s="222"/>
      <c r="X62" s="219"/>
      <c r="Y62" s="239"/>
    </row>
    <row r="63" spans="2:25" s="5" customFormat="1" ht="13.5" thickTop="1">
      <c r="B63" s="1168" t="s">
        <v>85</v>
      </c>
      <c r="C63" s="1169"/>
      <c r="D63" s="1174">
        <v>31</v>
      </c>
      <c r="E63" s="1174">
        <v>10</v>
      </c>
      <c r="F63" s="1177">
        <f>E63/D63</f>
        <v>0.3225806451612903</v>
      </c>
      <c r="G63" s="210">
        <v>769</v>
      </c>
      <c r="H63" s="211"/>
      <c r="I63" s="211"/>
      <c r="J63" s="211"/>
      <c r="K63" s="211"/>
      <c r="L63" s="213">
        <v>57</v>
      </c>
      <c r="M63" s="214">
        <v>658</v>
      </c>
      <c r="N63" s="210">
        <v>327</v>
      </c>
      <c r="O63" s="211"/>
      <c r="P63" s="213"/>
      <c r="Q63" s="210"/>
      <c r="R63" s="213"/>
      <c r="S63" s="214"/>
      <c r="T63" s="210"/>
      <c r="U63" s="211">
        <v>177</v>
      </c>
      <c r="V63" s="211"/>
      <c r="W63" s="211">
        <v>308</v>
      </c>
      <c r="X63" s="213">
        <v>18</v>
      </c>
      <c r="Y63" s="5" t="s">
        <v>86</v>
      </c>
    </row>
    <row r="64" spans="2:24" s="1" customFormat="1" ht="12.75">
      <c r="B64" s="1170"/>
      <c r="C64" s="1171"/>
      <c r="D64" s="1175"/>
      <c r="E64" s="1175"/>
      <c r="F64" s="1178"/>
      <c r="G64" s="41">
        <v>770</v>
      </c>
      <c r="H64" s="9"/>
      <c r="I64" s="9"/>
      <c r="J64" s="9"/>
      <c r="K64" s="9"/>
      <c r="L64" s="131"/>
      <c r="M64" s="223"/>
      <c r="N64" s="41"/>
      <c r="O64" s="9"/>
      <c r="P64" s="131"/>
      <c r="Q64" s="41"/>
      <c r="R64" s="131"/>
      <c r="S64" s="223"/>
      <c r="T64" s="41"/>
      <c r="U64" s="9">
        <v>426</v>
      </c>
      <c r="V64" s="9"/>
      <c r="W64" s="9"/>
      <c r="X64" s="131"/>
    </row>
    <row r="65" spans="2:24" s="1" customFormat="1" ht="13.5" thickBot="1">
      <c r="B65" s="1170"/>
      <c r="C65" s="1171"/>
      <c r="D65" s="1175"/>
      <c r="E65" s="1175"/>
      <c r="F65" s="1178"/>
      <c r="G65" s="41">
        <v>529</v>
      </c>
      <c r="H65" s="9"/>
      <c r="I65" s="9"/>
      <c r="J65" s="9"/>
      <c r="K65" s="9"/>
      <c r="L65" s="131"/>
      <c r="M65" s="223"/>
      <c r="N65" s="41"/>
      <c r="O65" s="9"/>
      <c r="P65" s="131"/>
      <c r="Q65" s="41"/>
      <c r="R65" s="131"/>
      <c r="S65" s="223"/>
      <c r="T65" s="41"/>
      <c r="U65" s="9"/>
      <c r="V65" s="9"/>
      <c r="W65" s="9"/>
      <c r="X65" s="131"/>
    </row>
    <row r="66" spans="2:24" s="5" customFormat="1" ht="13.5" thickTop="1">
      <c r="B66" s="1168" t="s">
        <v>87</v>
      </c>
      <c r="C66" s="1169"/>
      <c r="D66" s="1174">
        <v>49</v>
      </c>
      <c r="E66" s="1174">
        <v>6</v>
      </c>
      <c r="F66" s="1177">
        <f>E66/D66</f>
        <v>0.12244897959183673</v>
      </c>
      <c r="G66" s="210">
        <v>365</v>
      </c>
      <c r="H66" s="211"/>
      <c r="I66" s="211"/>
      <c r="J66" s="211"/>
      <c r="K66" s="211"/>
      <c r="L66" s="213"/>
      <c r="M66" s="214">
        <v>165</v>
      </c>
      <c r="N66" s="210"/>
      <c r="O66" s="211"/>
      <c r="P66" s="213"/>
      <c r="Q66" s="210"/>
      <c r="R66" s="213"/>
      <c r="S66" s="214"/>
      <c r="T66" s="210">
        <v>460</v>
      </c>
      <c r="U66" s="211"/>
      <c r="V66" s="211"/>
      <c r="W66" s="211"/>
      <c r="X66" s="213"/>
    </row>
    <row r="67" spans="2:24" s="1" customFormat="1" ht="12.75">
      <c r="B67" s="1170"/>
      <c r="C67" s="1171"/>
      <c r="D67" s="1175"/>
      <c r="E67" s="1175"/>
      <c r="F67" s="1178"/>
      <c r="G67" s="41">
        <v>387</v>
      </c>
      <c r="H67" s="9"/>
      <c r="I67" s="9"/>
      <c r="J67" s="9"/>
      <c r="K67" s="9"/>
      <c r="L67" s="131"/>
      <c r="M67" s="223"/>
      <c r="N67" s="41"/>
      <c r="O67" s="9"/>
      <c r="P67" s="131"/>
      <c r="Q67" s="41"/>
      <c r="R67" s="131"/>
      <c r="S67" s="223"/>
      <c r="T67" s="41">
        <v>842</v>
      </c>
      <c r="U67" s="9"/>
      <c r="V67" s="9"/>
      <c r="W67" s="9"/>
      <c r="X67" s="131"/>
    </row>
    <row r="68" spans="2:24" s="1" customFormat="1" ht="12.75">
      <c r="B68" s="1170"/>
      <c r="C68" s="1171"/>
      <c r="D68" s="1175"/>
      <c r="E68" s="1175"/>
      <c r="F68" s="1178"/>
      <c r="G68" s="41">
        <v>691</v>
      </c>
      <c r="H68" s="9"/>
      <c r="I68" s="9"/>
      <c r="J68" s="9"/>
      <c r="K68" s="9"/>
      <c r="L68" s="131"/>
      <c r="M68" s="223"/>
      <c r="N68" s="41"/>
      <c r="O68" s="9"/>
      <c r="P68" s="131"/>
      <c r="Q68" s="41"/>
      <c r="R68" s="131"/>
      <c r="S68" s="223"/>
      <c r="T68" s="41"/>
      <c r="U68" s="9"/>
      <c r="V68" s="9"/>
      <c r="W68" s="9"/>
      <c r="X68" s="131"/>
    </row>
    <row r="69" spans="2:24" s="1" customFormat="1" ht="13.5" thickBot="1">
      <c r="B69" s="1172"/>
      <c r="C69" s="1173"/>
      <c r="D69" s="1176"/>
      <c r="E69" s="1176"/>
      <c r="F69" s="1179"/>
      <c r="G69" s="225"/>
      <c r="H69" s="222"/>
      <c r="I69" s="222"/>
      <c r="J69" s="222"/>
      <c r="K69" s="222"/>
      <c r="L69" s="219"/>
      <c r="M69" s="220"/>
      <c r="N69" s="216"/>
      <c r="O69" s="222"/>
      <c r="P69" s="219"/>
      <c r="Q69" s="216"/>
      <c r="R69" s="219"/>
      <c r="S69" s="220"/>
      <c r="T69" s="216"/>
      <c r="U69" s="222"/>
      <c r="V69" s="222"/>
      <c r="W69" s="222"/>
      <c r="X69" s="219"/>
    </row>
    <row r="70" spans="1:25" ht="13.5" thickTop="1">
      <c r="A70" s="5"/>
      <c r="B70" s="1168" t="s">
        <v>88</v>
      </c>
      <c r="C70" s="1169"/>
      <c r="D70" s="1174">
        <v>73</v>
      </c>
      <c r="E70" s="1174">
        <v>17</v>
      </c>
      <c r="F70" s="1177">
        <f>E70/D70</f>
        <v>0.2328767123287671</v>
      </c>
      <c r="G70" s="210">
        <v>324</v>
      </c>
      <c r="H70" s="211">
        <v>1261</v>
      </c>
      <c r="I70" s="211">
        <v>52</v>
      </c>
      <c r="J70" s="211"/>
      <c r="K70" s="211">
        <v>183</v>
      </c>
      <c r="L70" s="213">
        <v>158</v>
      </c>
      <c r="M70" s="214">
        <v>973</v>
      </c>
      <c r="N70" s="210">
        <v>603</v>
      </c>
      <c r="O70" s="211">
        <v>69</v>
      </c>
      <c r="P70" s="213"/>
      <c r="Q70" s="210"/>
      <c r="R70" s="213"/>
      <c r="S70" s="214"/>
      <c r="T70" s="210"/>
      <c r="U70" s="211"/>
      <c r="V70" s="211"/>
      <c r="W70" s="211"/>
      <c r="X70" s="213"/>
      <c r="Y70" s="241"/>
    </row>
    <row r="71" spans="1:25" ht="12.75">
      <c r="A71" s="5"/>
      <c r="B71" s="1170"/>
      <c r="C71" s="1171"/>
      <c r="D71" s="1175"/>
      <c r="E71" s="1175"/>
      <c r="F71" s="1178"/>
      <c r="G71" s="41">
        <v>427</v>
      </c>
      <c r="H71" s="9">
        <v>572</v>
      </c>
      <c r="I71" s="9">
        <v>9</v>
      </c>
      <c r="J71" s="9"/>
      <c r="K71" s="9"/>
      <c r="L71" s="131"/>
      <c r="M71" s="223"/>
      <c r="N71" s="41"/>
      <c r="O71" s="9">
        <v>46</v>
      </c>
      <c r="P71" s="131"/>
      <c r="Q71" s="41"/>
      <c r="R71" s="131"/>
      <c r="S71" s="223"/>
      <c r="T71" s="41"/>
      <c r="U71" s="9"/>
      <c r="V71" s="9"/>
      <c r="W71" s="9"/>
      <c r="X71" s="131"/>
      <c r="Y71" s="241"/>
    </row>
    <row r="72" spans="1:25" ht="12.75">
      <c r="A72" s="5"/>
      <c r="B72" s="1170"/>
      <c r="C72" s="1171"/>
      <c r="D72" s="1175"/>
      <c r="E72" s="1175"/>
      <c r="F72" s="1178"/>
      <c r="G72" s="41">
        <v>221</v>
      </c>
      <c r="H72" s="9">
        <v>523</v>
      </c>
      <c r="I72" s="9">
        <v>876</v>
      </c>
      <c r="J72" s="9"/>
      <c r="K72" s="9"/>
      <c r="L72" s="131"/>
      <c r="M72" s="223"/>
      <c r="N72" s="41"/>
      <c r="O72" s="9">
        <v>475</v>
      </c>
      <c r="P72" s="131"/>
      <c r="Q72" s="41"/>
      <c r="R72" s="131"/>
      <c r="S72" s="223"/>
      <c r="T72" s="41"/>
      <c r="U72" s="9"/>
      <c r="V72" s="9"/>
      <c r="W72" s="9"/>
      <c r="X72" s="131"/>
      <c r="Y72" s="241"/>
    </row>
    <row r="73" spans="1:25" ht="13.5" thickBot="1">
      <c r="A73" s="5"/>
      <c r="B73" s="1172"/>
      <c r="C73" s="1173"/>
      <c r="D73" s="1176"/>
      <c r="E73" s="1176"/>
      <c r="F73" s="1179"/>
      <c r="G73" s="225"/>
      <c r="H73" s="240"/>
      <c r="I73" s="240"/>
      <c r="J73" s="222"/>
      <c r="K73" s="222"/>
      <c r="L73" s="219"/>
      <c r="M73" s="220"/>
      <c r="N73" s="216"/>
      <c r="O73" s="240"/>
      <c r="P73" s="219"/>
      <c r="Q73" s="216"/>
      <c r="R73" s="219"/>
      <c r="S73" s="220"/>
      <c r="T73" s="216"/>
      <c r="U73" s="222"/>
      <c r="V73" s="222"/>
      <c r="W73" s="222"/>
      <c r="X73" s="219"/>
      <c r="Y73" s="241"/>
    </row>
    <row r="74" spans="1:24" ht="13.5" thickTop="1">
      <c r="A74" s="5"/>
      <c r="B74" s="1180" t="s">
        <v>89</v>
      </c>
      <c r="C74" s="1181"/>
      <c r="D74" s="1186">
        <v>76</v>
      </c>
      <c r="E74" s="1186">
        <v>16</v>
      </c>
      <c r="F74" s="1189">
        <f>E74/D74</f>
        <v>0.21052631578947367</v>
      </c>
      <c r="G74" s="210">
        <v>37</v>
      </c>
      <c r="H74" s="211">
        <v>352</v>
      </c>
      <c r="I74" s="211">
        <v>355</v>
      </c>
      <c r="J74" s="211"/>
      <c r="K74" s="211"/>
      <c r="L74" s="213">
        <v>281</v>
      </c>
      <c r="M74" s="214"/>
      <c r="N74" s="210"/>
      <c r="O74" s="211"/>
      <c r="P74" s="213"/>
      <c r="Q74" s="210"/>
      <c r="R74" s="213"/>
      <c r="S74" s="214">
        <v>704</v>
      </c>
      <c r="T74" s="210">
        <v>22</v>
      </c>
      <c r="U74" s="211">
        <v>226</v>
      </c>
      <c r="V74" s="211"/>
      <c r="W74" s="211"/>
      <c r="X74" s="213"/>
    </row>
    <row r="75" spans="1:25" ht="12.75">
      <c r="A75" s="5"/>
      <c r="B75" s="1182"/>
      <c r="C75" s="1183"/>
      <c r="D75" s="1187"/>
      <c r="E75" s="1187"/>
      <c r="F75" s="1190"/>
      <c r="G75" s="41">
        <v>695</v>
      </c>
      <c r="H75" s="9"/>
      <c r="I75" s="9">
        <v>749</v>
      </c>
      <c r="J75" s="9"/>
      <c r="K75" s="9"/>
      <c r="L75" s="131"/>
      <c r="M75" s="223"/>
      <c r="N75" s="41"/>
      <c r="O75" s="9"/>
      <c r="P75" s="131"/>
      <c r="Q75" s="41"/>
      <c r="R75" s="131"/>
      <c r="S75" s="223"/>
      <c r="T75" s="41">
        <v>612</v>
      </c>
      <c r="U75" s="9">
        <v>571</v>
      </c>
      <c r="V75" s="9"/>
      <c r="W75" s="9"/>
      <c r="X75" s="131">
        <v>723</v>
      </c>
      <c r="Y75" t="s">
        <v>90</v>
      </c>
    </row>
    <row r="76" spans="1:25" ht="12.75">
      <c r="A76" s="5"/>
      <c r="B76" s="1182"/>
      <c r="C76" s="1183"/>
      <c r="D76" s="1187"/>
      <c r="E76" s="1187"/>
      <c r="F76" s="1190"/>
      <c r="G76" s="41">
        <v>414</v>
      </c>
      <c r="H76" s="9"/>
      <c r="I76" s="9">
        <v>353</v>
      </c>
      <c r="J76" s="9"/>
      <c r="K76" s="9"/>
      <c r="L76" s="131"/>
      <c r="M76" s="223"/>
      <c r="N76" s="41"/>
      <c r="O76" s="9"/>
      <c r="P76" s="131"/>
      <c r="Q76" s="41"/>
      <c r="R76" s="131"/>
      <c r="S76" s="223"/>
      <c r="T76" s="41"/>
      <c r="U76" s="9">
        <v>166</v>
      </c>
      <c r="V76" s="9"/>
      <c r="W76" s="9"/>
      <c r="X76" s="131">
        <v>978</v>
      </c>
      <c r="Y76" t="s">
        <v>91</v>
      </c>
    </row>
    <row r="77" spans="1:24" ht="13.5" thickBot="1">
      <c r="A77" s="5"/>
      <c r="B77" s="1184"/>
      <c r="C77" s="1185"/>
      <c r="D77" s="1188"/>
      <c r="E77" s="1188"/>
      <c r="F77" s="1191"/>
      <c r="G77" s="225"/>
      <c r="H77" s="222"/>
      <c r="I77" s="222"/>
      <c r="J77" s="222"/>
      <c r="K77" s="222"/>
      <c r="L77" s="219"/>
      <c r="M77" s="220"/>
      <c r="N77" s="216"/>
      <c r="O77" s="222"/>
      <c r="P77" s="219"/>
      <c r="Q77" s="216"/>
      <c r="R77" s="219"/>
      <c r="S77" s="220"/>
      <c r="T77" s="216"/>
      <c r="U77" s="222"/>
      <c r="V77" s="222"/>
      <c r="W77" s="222"/>
      <c r="X77" s="219"/>
    </row>
    <row r="78" spans="1:24" ht="25.5" customHeight="1" thickBot="1" thickTop="1">
      <c r="A78" s="5"/>
      <c r="B78" s="1126" t="s">
        <v>45</v>
      </c>
      <c r="C78" s="1127"/>
      <c r="D78" s="242"/>
      <c r="E78" s="242"/>
      <c r="F78" s="242"/>
      <c r="G78" s="243">
        <f aca="true" t="shared" si="0" ref="G78:X78">COUNTIF(G11:G77,"&gt;0")</f>
        <v>40</v>
      </c>
      <c r="H78" s="155">
        <f t="shared" si="0"/>
        <v>19</v>
      </c>
      <c r="I78" s="155">
        <f t="shared" si="0"/>
        <v>17</v>
      </c>
      <c r="J78" s="155">
        <f t="shared" si="0"/>
        <v>4</v>
      </c>
      <c r="K78" s="155">
        <f t="shared" si="0"/>
        <v>5</v>
      </c>
      <c r="L78" s="156">
        <f t="shared" si="0"/>
        <v>14</v>
      </c>
      <c r="M78" s="244">
        <f t="shared" si="0"/>
        <v>15</v>
      </c>
      <c r="N78" s="243">
        <f t="shared" si="0"/>
        <v>11</v>
      </c>
      <c r="O78" s="155">
        <f t="shared" si="0"/>
        <v>7</v>
      </c>
      <c r="P78" s="156">
        <f t="shared" si="0"/>
        <v>1</v>
      </c>
      <c r="Q78" s="243">
        <f t="shared" si="0"/>
        <v>6</v>
      </c>
      <c r="R78" s="156">
        <f t="shared" si="0"/>
        <v>6</v>
      </c>
      <c r="S78" s="244">
        <f t="shared" si="0"/>
        <v>10</v>
      </c>
      <c r="T78" s="243">
        <f t="shared" si="0"/>
        <v>9</v>
      </c>
      <c r="U78" s="245">
        <f t="shared" si="0"/>
        <v>22</v>
      </c>
      <c r="V78" s="155">
        <f t="shared" si="0"/>
        <v>0</v>
      </c>
      <c r="W78" s="155">
        <f t="shared" si="0"/>
        <v>3</v>
      </c>
      <c r="X78" s="156">
        <f t="shared" si="0"/>
        <v>6</v>
      </c>
    </row>
    <row r="79" spans="1:24" ht="26.25" customHeight="1" thickBot="1" thickTop="1">
      <c r="A79" s="5"/>
      <c r="B79" s="1157" t="s">
        <v>92</v>
      </c>
      <c r="C79" s="1165"/>
      <c r="D79" s="246"/>
      <c r="E79" s="246"/>
      <c r="F79" s="246"/>
      <c r="G79" s="247">
        <f aca="true" t="shared" si="1" ref="G79:U79">G10*G78</f>
        <v>13794</v>
      </c>
      <c r="H79" s="157">
        <f t="shared" si="1"/>
        <v>3032.0200000000004</v>
      </c>
      <c r="I79" s="157">
        <f t="shared" si="1"/>
        <v>4247.45</v>
      </c>
      <c r="J79" s="157">
        <f t="shared" si="1"/>
        <v>476</v>
      </c>
      <c r="K79" s="157">
        <f t="shared" si="1"/>
        <v>125</v>
      </c>
      <c r="L79" s="176">
        <f t="shared" si="1"/>
        <v>1098.3</v>
      </c>
      <c r="M79" s="248">
        <f t="shared" si="1"/>
        <v>12090</v>
      </c>
      <c r="N79" s="247">
        <f t="shared" si="1"/>
        <v>429</v>
      </c>
      <c r="O79" s="157">
        <f t="shared" si="1"/>
        <v>524.3000000000001</v>
      </c>
      <c r="P79" s="176">
        <f t="shared" si="1"/>
        <v>100</v>
      </c>
      <c r="Q79" s="247">
        <f t="shared" si="1"/>
        <v>570</v>
      </c>
      <c r="R79" s="176">
        <f t="shared" si="1"/>
        <v>906</v>
      </c>
      <c r="S79" s="248">
        <f t="shared" si="1"/>
        <v>1184</v>
      </c>
      <c r="T79" s="247">
        <f t="shared" si="1"/>
        <v>2700</v>
      </c>
      <c r="U79" s="157">
        <f t="shared" si="1"/>
        <v>4075.94</v>
      </c>
      <c r="V79" s="158">
        <f>V78*373</f>
        <v>0</v>
      </c>
      <c r="W79" s="157">
        <f>W10*W78</f>
        <v>900</v>
      </c>
      <c r="X79" s="176">
        <f>X10*X78</f>
        <v>1800</v>
      </c>
    </row>
    <row r="80" spans="2:24" ht="15" customHeight="1" thickBot="1" thickTop="1"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</row>
    <row r="81" spans="2:11" ht="21.75" thickBot="1" thickTop="1">
      <c r="B81" s="1166" t="s">
        <v>58</v>
      </c>
      <c r="C81" s="1167"/>
      <c r="D81" s="1167"/>
      <c r="E81" s="1167"/>
      <c r="F81" s="1167"/>
      <c r="G81" s="1167"/>
      <c r="H81" s="1167"/>
      <c r="I81" s="1040">
        <f>G78+H78+I78+J78+K78+L78+M78+N78+O78+P78+Q78+R78+S78+T78+U78+W78+X78</f>
        <v>195</v>
      </c>
      <c r="K81" s="107"/>
    </row>
  </sheetData>
  <sheetProtection/>
  <mergeCells count="100">
    <mergeCell ref="G8:L8"/>
    <mergeCell ref="M8:M9"/>
    <mergeCell ref="N8:P8"/>
    <mergeCell ref="Q8:R8"/>
    <mergeCell ref="S8:S9"/>
    <mergeCell ref="T8:X8"/>
    <mergeCell ref="B10:C10"/>
    <mergeCell ref="D11:D12"/>
    <mergeCell ref="E11:E12"/>
    <mergeCell ref="F11:F12"/>
    <mergeCell ref="B12:C12"/>
    <mergeCell ref="B8:C9"/>
    <mergeCell ref="D8:D9"/>
    <mergeCell ref="E8:E9"/>
    <mergeCell ref="F8:F9"/>
    <mergeCell ref="B13:C14"/>
    <mergeCell ref="D13:D14"/>
    <mergeCell ref="E13:E14"/>
    <mergeCell ref="F13:F14"/>
    <mergeCell ref="B15:C18"/>
    <mergeCell ref="D15:D18"/>
    <mergeCell ref="E15:E18"/>
    <mergeCell ref="F15:F18"/>
    <mergeCell ref="B19:C19"/>
    <mergeCell ref="B20:C22"/>
    <mergeCell ref="D20:D22"/>
    <mergeCell ref="E20:E22"/>
    <mergeCell ref="F20:F22"/>
    <mergeCell ref="B23:C26"/>
    <mergeCell ref="D23:D26"/>
    <mergeCell ref="E23:E26"/>
    <mergeCell ref="F23:F26"/>
    <mergeCell ref="B27:C31"/>
    <mergeCell ref="D27:D31"/>
    <mergeCell ref="E27:E31"/>
    <mergeCell ref="F27:F31"/>
    <mergeCell ref="Y27:Y29"/>
    <mergeCell ref="B32:C33"/>
    <mergeCell ref="D32:D33"/>
    <mergeCell ref="E32:E33"/>
    <mergeCell ref="F32:F33"/>
    <mergeCell ref="B34:C35"/>
    <mergeCell ref="D34:D35"/>
    <mergeCell ref="E34:E35"/>
    <mergeCell ref="F34:F35"/>
    <mergeCell ref="B36:C39"/>
    <mergeCell ref="D36:D39"/>
    <mergeCell ref="E36:E39"/>
    <mergeCell ref="F36:F39"/>
    <mergeCell ref="B40:C41"/>
    <mergeCell ref="D40:D41"/>
    <mergeCell ref="E40:E41"/>
    <mergeCell ref="F40:F41"/>
    <mergeCell ref="B42:C46"/>
    <mergeCell ref="D42:D46"/>
    <mergeCell ref="E42:E46"/>
    <mergeCell ref="F42:F46"/>
    <mergeCell ref="B47:C49"/>
    <mergeCell ref="D47:D49"/>
    <mergeCell ref="E47:E49"/>
    <mergeCell ref="F47:F49"/>
    <mergeCell ref="B50:C52"/>
    <mergeCell ref="D50:D52"/>
    <mergeCell ref="E50:E52"/>
    <mergeCell ref="F50:F52"/>
    <mergeCell ref="B53:C54"/>
    <mergeCell ref="D53:D54"/>
    <mergeCell ref="E53:E54"/>
    <mergeCell ref="F53:F54"/>
    <mergeCell ref="B55:C56"/>
    <mergeCell ref="D55:D56"/>
    <mergeCell ref="E55:E56"/>
    <mergeCell ref="F55:F56"/>
    <mergeCell ref="B57:C58"/>
    <mergeCell ref="D57:D58"/>
    <mergeCell ref="E57:E58"/>
    <mergeCell ref="F57:F58"/>
    <mergeCell ref="B59:C62"/>
    <mergeCell ref="D59:D62"/>
    <mergeCell ref="E59:E62"/>
    <mergeCell ref="F59:F62"/>
    <mergeCell ref="F74:F77"/>
    <mergeCell ref="B63:C65"/>
    <mergeCell ref="D63:D65"/>
    <mergeCell ref="E63:E65"/>
    <mergeCell ref="F63:F65"/>
    <mergeCell ref="B66:C69"/>
    <mergeCell ref="D66:D69"/>
    <mergeCell ref="E66:E69"/>
    <mergeCell ref="F66:F69"/>
    <mergeCell ref="B78:C78"/>
    <mergeCell ref="B79:C79"/>
    <mergeCell ref="B81:H81"/>
    <mergeCell ref="B70:C73"/>
    <mergeCell ref="D70:D73"/>
    <mergeCell ref="E70:E73"/>
    <mergeCell ref="F70:F73"/>
    <mergeCell ref="B74:C77"/>
    <mergeCell ref="D74:D77"/>
    <mergeCell ref="E74:E77"/>
  </mergeCells>
  <printOptions/>
  <pageMargins left="0.47" right="0.19" top="0.16" bottom="0.3" header="0.27" footer="0.33"/>
  <pageSetup horizontalDpi="600" verticalDpi="600" orientation="landscape" paperSize="8" scale="43"/>
  <colBreaks count="1" manualBreakCount="1">
    <brk id="25" max="81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3:U40"/>
  <sheetViews>
    <sheetView showGridLines="0" zoomScalePageLayoutView="0" workbookViewId="0" topLeftCell="A1">
      <selection activeCell="F48" sqref="F48"/>
    </sheetView>
  </sheetViews>
  <sheetFormatPr defaultColWidth="11.421875" defaultRowHeight="12.75"/>
  <cols>
    <col min="1" max="1" width="4.28125" style="0" customWidth="1"/>
    <col min="2" max="2" width="25.7109375" style="0" bestFit="1" customWidth="1"/>
    <col min="3" max="3" width="18.421875" style="10" customWidth="1"/>
    <col min="4" max="4" width="16.421875" style="10" customWidth="1"/>
    <col min="5" max="5" width="19.28125" style="10" customWidth="1"/>
    <col min="6" max="6" width="14.28125" style="10" customWidth="1"/>
    <col min="7" max="7" width="12.28125" style="10" customWidth="1"/>
    <col min="8" max="8" width="14.421875" style="10" customWidth="1"/>
    <col min="9" max="9" width="16.140625" style="10" customWidth="1"/>
    <col min="10" max="10" width="13.7109375" style="10" customWidth="1"/>
    <col min="11" max="11" width="14.421875" style="10" bestFit="1" customWidth="1"/>
    <col min="12" max="12" width="13.7109375" style="10" customWidth="1"/>
    <col min="13" max="13" width="11.28125" style="10" customWidth="1"/>
    <col min="14" max="14" width="10.8515625" style="10" customWidth="1"/>
    <col min="15" max="16" width="13.421875" style="10" customWidth="1"/>
    <col min="17" max="17" width="12.140625" style="192" bestFit="1" customWidth="1"/>
    <col min="18" max="18" width="11.421875" style="10" hidden="1" customWidth="1"/>
    <col min="19" max="19" width="12.421875" style="10" customWidth="1"/>
    <col min="20" max="20" width="14.421875" style="10" bestFit="1" customWidth="1"/>
  </cols>
  <sheetData>
    <row r="1" ht="12.75"/>
    <row r="2" ht="12.75"/>
    <row r="3" spans="2:20" ht="23.25">
      <c r="B3" s="1"/>
      <c r="C3" s="2"/>
      <c r="D3" s="2"/>
      <c r="E3" s="2"/>
      <c r="F3" s="2"/>
      <c r="G3" s="2"/>
      <c r="H3" s="2"/>
      <c r="I3" s="11" t="s">
        <v>93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ht="12.75">
      <c r="B4" s="1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2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0" ht="12.75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2:20" ht="13.5" thickBot="1">
      <c r="B7" s="5"/>
      <c r="C7" s="10" t="s">
        <v>94</v>
      </c>
      <c r="D7" s="10" t="s">
        <v>95</v>
      </c>
      <c r="E7" s="10" t="s">
        <v>96</v>
      </c>
      <c r="F7" s="10" t="s">
        <v>97</v>
      </c>
      <c r="G7" s="10" t="s">
        <v>98</v>
      </c>
      <c r="H7" s="10" t="s">
        <v>99</v>
      </c>
      <c r="I7" s="10" t="s">
        <v>100</v>
      </c>
      <c r="J7" s="10" t="s">
        <v>101</v>
      </c>
      <c r="K7" s="10" t="s">
        <v>102</v>
      </c>
      <c r="L7" s="10" t="s">
        <v>103</v>
      </c>
      <c r="M7" s="10" t="s">
        <v>104</v>
      </c>
      <c r="N7" s="10" t="s">
        <v>105</v>
      </c>
      <c r="O7" s="10" t="s">
        <v>106</v>
      </c>
      <c r="P7" s="10" t="s">
        <v>107</v>
      </c>
      <c r="Q7" s="192" t="s">
        <v>108</v>
      </c>
      <c r="S7" s="10" t="s">
        <v>109</v>
      </c>
      <c r="T7" s="10" t="s">
        <v>110</v>
      </c>
    </row>
    <row r="8" spans="1:20" ht="29.25" customHeight="1" thickBot="1" thickTop="1">
      <c r="A8" s="5"/>
      <c r="B8" s="1223" t="s">
        <v>21</v>
      </c>
      <c r="C8" s="1233" t="s">
        <v>0</v>
      </c>
      <c r="D8" s="1229"/>
      <c r="E8" s="1229"/>
      <c r="F8" s="1229"/>
      <c r="G8" s="1229"/>
      <c r="H8" s="1230"/>
      <c r="I8" s="1231" t="s">
        <v>10</v>
      </c>
      <c r="J8" s="1233" t="s">
        <v>1</v>
      </c>
      <c r="K8" s="1229"/>
      <c r="L8" s="1230"/>
      <c r="M8" s="1233" t="s">
        <v>2</v>
      </c>
      <c r="N8" s="1230"/>
      <c r="O8" s="1231" t="s">
        <v>16</v>
      </c>
      <c r="P8" s="1228" t="s">
        <v>3</v>
      </c>
      <c r="Q8" s="1229"/>
      <c r="R8" s="1229"/>
      <c r="S8" s="1229"/>
      <c r="T8" s="1230"/>
    </row>
    <row r="9" spans="1:21" ht="66.75" customHeight="1" thickBot="1">
      <c r="A9" s="193"/>
      <c r="B9" s="1224"/>
      <c r="C9" s="249" t="s">
        <v>4</v>
      </c>
      <c r="D9" s="250" t="s">
        <v>5</v>
      </c>
      <c r="E9" s="250" t="s">
        <v>6</v>
      </c>
      <c r="F9" s="250" t="s">
        <v>7</v>
      </c>
      <c r="G9" s="250" t="s">
        <v>8</v>
      </c>
      <c r="H9" s="251" t="s">
        <v>9</v>
      </c>
      <c r="I9" s="1232"/>
      <c r="J9" s="194" t="s">
        <v>11</v>
      </c>
      <c r="K9" s="164" t="s">
        <v>12</v>
      </c>
      <c r="L9" s="195" t="s">
        <v>13</v>
      </c>
      <c r="M9" s="194" t="s">
        <v>14</v>
      </c>
      <c r="N9" s="195" t="s">
        <v>15</v>
      </c>
      <c r="O9" s="1234"/>
      <c r="P9" s="194" t="s">
        <v>17</v>
      </c>
      <c r="Q9" s="196" t="s">
        <v>18</v>
      </c>
      <c r="R9" s="164"/>
      <c r="S9" s="164" t="s">
        <v>19</v>
      </c>
      <c r="T9" s="197" t="s">
        <v>20</v>
      </c>
      <c r="U9" s="3"/>
    </row>
    <row r="10" spans="1:21" ht="41.25" customHeight="1" thickBot="1" thickTop="1">
      <c r="A10" s="193"/>
      <c r="B10" s="252" t="s">
        <v>66</v>
      </c>
      <c r="C10" s="253">
        <v>344.85</v>
      </c>
      <c r="D10" s="254">
        <v>159.58</v>
      </c>
      <c r="E10" s="254">
        <v>249.85</v>
      </c>
      <c r="F10" s="255">
        <v>119</v>
      </c>
      <c r="G10" s="255">
        <v>25</v>
      </c>
      <c r="H10" s="256">
        <v>78.45</v>
      </c>
      <c r="I10" s="257">
        <v>806</v>
      </c>
      <c r="J10" s="258">
        <v>39</v>
      </c>
      <c r="K10" s="254">
        <v>74.9</v>
      </c>
      <c r="L10" s="259">
        <v>100</v>
      </c>
      <c r="M10" s="258">
        <v>95</v>
      </c>
      <c r="N10" s="259">
        <v>151</v>
      </c>
      <c r="O10" s="260">
        <v>118.4</v>
      </c>
      <c r="P10" s="258">
        <v>300</v>
      </c>
      <c r="Q10" s="254">
        <v>185.27</v>
      </c>
      <c r="R10" s="261"/>
      <c r="S10" s="255">
        <v>300</v>
      </c>
      <c r="T10" s="259">
        <v>300</v>
      </c>
      <c r="U10" s="3"/>
    </row>
    <row r="11" spans="2:20" s="5" customFormat="1" ht="24.75" customHeight="1" thickTop="1">
      <c r="B11" s="262" t="s">
        <v>111</v>
      </c>
      <c r="C11" s="263"/>
      <c r="D11" s="264"/>
      <c r="E11" s="265"/>
      <c r="F11" s="265"/>
      <c r="G11" s="265"/>
      <c r="H11" s="264"/>
      <c r="I11" s="264"/>
      <c r="J11" s="264"/>
      <c r="K11" s="265"/>
      <c r="L11" s="265"/>
      <c r="M11" s="264"/>
      <c r="N11" s="264"/>
      <c r="O11" s="264"/>
      <c r="P11" s="264"/>
      <c r="Q11" s="264"/>
      <c r="R11" s="264"/>
      <c r="S11" s="264"/>
      <c r="T11" s="266"/>
    </row>
    <row r="12" spans="2:20" s="5" customFormat="1" ht="24.75" customHeight="1">
      <c r="B12" s="267" t="s">
        <v>67</v>
      </c>
      <c r="C12" s="268"/>
      <c r="D12" s="269">
        <v>667</v>
      </c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>
        <v>617</v>
      </c>
      <c r="T12" s="270"/>
    </row>
    <row r="13" spans="1:20" ht="24.75" customHeight="1">
      <c r="A13" s="5"/>
      <c r="B13" s="267" t="s">
        <v>68</v>
      </c>
      <c r="C13" s="268">
        <v>467</v>
      </c>
      <c r="D13" s="269"/>
      <c r="E13" s="269"/>
      <c r="F13" s="269"/>
      <c r="G13" s="269">
        <v>496</v>
      </c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70"/>
    </row>
    <row r="14" spans="1:20" ht="24.75" customHeight="1">
      <c r="A14" s="5"/>
      <c r="B14" s="267" t="s">
        <v>69</v>
      </c>
      <c r="C14" s="268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>
        <v>869</v>
      </c>
      <c r="P14" s="269"/>
      <c r="Q14" s="269">
        <v>497</v>
      </c>
      <c r="R14" s="269"/>
      <c r="S14" s="269"/>
      <c r="T14" s="270"/>
    </row>
    <row r="15" spans="1:20" s="6" customFormat="1" ht="24.75" customHeight="1">
      <c r="A15" s="1"/>
      <c r="B15" s="267" t="s">
        <v>70</v>
      </c>
      <c r="C15" s="268"/>
      <c r="D15" s="269">
        <v>974</v>
      </c>
      <c r="E15" s="269"/>
      <c r="F15" s="269"/>
      <c r="G15" s="269"/>
      <c r="H15" s="269"/>
      <c r="I15" s="269">
        <v>240</v>
      </c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70"/>
    </row>
    <row r="16" spans="1:20" s="6" customFormat="1" ht="24.75" customHeight="1">
      <c r="A16" s="1"/>
      <c r="B16" s="267" t="s">
        <v>71</v>
      </c>
      <c r="C16" s="268">
        <v>815</v>
      </c>
      <c r="D16" s="269"/>
      <c r="E16" s="269"/>
      <c r="F16" s="269"/>
      <c r="G16" s="269"/>
      <c r="H16" s="269"/>
      <c r="I16" s="269">
        <v>750</v>
      </c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70"/>
    </row>
    <row r="17" spans="1:20" ht="24.75" customHeight="1">
      <c r="A17" s="5"/>
      <c r="B17" s="267" t="s">
        <v>72</v>
      </c>
      <c r="C17" s="268">
        <v>774</v>
      </c>
      <c r="D17" s="269"/>
      <c r="E17" s="269">
        <v>504</v>
      </c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70"/>
    </row>
    <row r="18" spans="2:20" s="5" customFormat="1" ht="24.75" customHeight="1">
      <c r="B18" s="271" t="s">
        <v>112</v>
      </c>
      <c r="C18" s="272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4"/>
    </row>
    <row r="19" spans="1:20" ht="15.75">
      <c r="A19" s="5"/>
      <c r="B19" s="1235" t="s">
        <v>113</v>
      </c>
      <c r="C19" s="268">
        <v>286</v>
      </c>
      <c r="D19" s="269"/>
      <c r="E19" s="275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70"/>
    </row>
    <row r="20" spans="1:20" ht="15.75">
      <c r="A20" s="5"/>
      <c r="B20" s="1236"/>
      <c r="C20" s="268">
        <v>39</v>
      </c>
      <c r="D20" s="269"/>
      <c r="E20" s="275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70"/>
    </row>
    <row r="21" spans="2:20" s="5" customFormat="1" ht="15.75" customHeight="1">
      <c r="B21" s="276" t="s">
        <v>114</v>
      </c>
      <c r="C21" s="268">
        <v>886</v>
      </c>
      <c r="D21" s="269"/>
      <c r="E21" s="269"/>
      <c r="F21" s="269"/>
      <c r="G21" s="269"/>
      <c r="H21" s="269"/>
      <c r="I21" s="269">
        <v>761</v>
      </c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70"/>
    </row>
    <row r="22" spans="2:20" s="5" customFormat="1" ht="24.75" customHeight="1">
      <c r="B22" s="267" t="s">
        <v>77</v>
      </c>
      <c r="C22" s="268">
        <v>47</v>
      </c>
      <c r="D22" s="269">
        <v>12</v>
      </c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70"/>
    </row>
    <row r="23" spans="2:20" s="5" customFormat="1" ht="24.75" customHeight="1">
      <c r="B23" s="271" t="s">
        <v>115</v>
      </c>
      <c r="C23" s="268"/>
      <c r="D23" s="269">
        <v>424</v>
      </c>
      <c r="E23" s="269"/>
      <c r="F23" s="269"/>
      <c r="G23" s="269"/>
      <c r="H23" s="269"/>
      <c r="I23" s="269">
        <v>801</v>
      </c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70"/>
    </row>
    <row r="24" spans="2:20" s="5" customFormat="1" ht="24.75" customHeight="1">
      <c r="B24" s="267" t="s">
        <v>116</v>
      </c>
      <c r="C24" s="268"/>
      <c r="D24" s="269"/>
      <c r="E24" s="269">
        <v>451</v>
      </c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>
        <v>97</v>
      </c>
      <c r="R24" s="269"/>
      <c r="S24" s="269"/>
      <c r="T24" s="270"/>
    </row>
    <row r="25" spans="2:20" s="5" customFormat="1" ht="24.75" customHeight="1">
      <c r="B25" s="267" t="s">
        <v>80</v>
      </c>
      <c r="C25" s="268"/>
      <c r="D25" s="269">
        <v>407</v>
      </c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>
        <v>438</v>
      </c>
      <c r="P25" s="269"/>
      <c r="Q25" s="269"/>
      <c r="R25" s="269"/>
      <c r="S25" s="269"/>
      <c r="T25" s="270"/>
    </row>
    <row r="26" spans="2:20" s="5" customFormat="1" ht="24.75" customHeight="1">
      <c r="B26" s="267" t="s">
        <v>117</v>
      </c>
      <c r="C26" s="268">
        <v>710</v>
      </c>
      <c r="D26" s="269"/>
      <c r="E26" s="269">
        <v>810</v>
      </c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70"/>
    </row>
    <row r="27" spans="2:20" s="5" customFormat="1" ht="15.75">
      <c r="B27" s="1235" t="s">
        <v>82</v>
      </c>
      <c r="C27" s="268"/>
      <c r="D27" s="269">
        <v>588</v>
      </c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70"/>
    </row>
    <row r="28" spans="2:20" s="5" customFormat="1" ht="15.75">
      <c r="B28" s="1236"/>
      <c r="C28" s="268"/>
      <c r="D28" s="269">
        <v>173</v>
      </c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70"/>
    </row>
    <row r="29" spans="2:20" s="5" customFormat="1" ht="15.75">
      <c r="B29" s="1235" t="s">
        <v>83</v>
      </c>
      <c r="C29" s="268">
        <v>63</v>
      </c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70"/>
    </row>
    <row r="30" spans="2:20" s="5" customFormat="1" ht="15.75" customHeight="1">
      <c r="B30" s="1236"/>
      <c r="C30" s="268">
        <v>817</v>
      </c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70"/>
    </row>
    <row r="31" spans="2:20" s="1" customFormat="1" ht="24.75" customHeight="1">
      <c r="B31" s="267" t="s">
        <v>84</v>
      </c>
      <c r="C31" s="272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4"/>
    </row>
    <row r="32" spans="2:20" s="5" customFormat="1" ht="24.75" customHeight="1">
      <c r="B32" s="267" t="s">
        <v>118</v>
      </c>
      <c r="C32" s="268"/>
      <c r="D32" s="269"/>
      <c r="E32" s="269"/>
      <c r="F32" s="269"/>
      <c r="G32" s="269"/>
      <c r="H32" s="269"/>
      <c r="I32" s="269"/>
      <c r="J32" s="269"/>
      <c r="K32" s="269"/>
      <c r="L32" s="269"/>
      <c r="M32" s="269">
        <v>985</v>
      </c>
      <c r="N32" s="269"/>
      <c r="O32" s="269"/>
      <c r="P32" s="269"/>
      <c r="Q32" s="269"/>
      <c r="R32" s="269"/>
      <c r="S32" s="269">
        <v>263</v>
      </c>
      <c r="T32" s="270"/>
    </row>
    <row r="33" spans="2:20" s="5" customFormat="1" ht="24.75" customHeight="1">
      <c r="B33" s="267" t="s">
        <v>87</v>
      </c>
      <c r="C33" s="268">
        <v>717</v>
      </c>
      <c r="D33" s="269"/>
      <c r="E33" s="269">
        <v>557</v>
      </c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70"/>
    </row>
    <row r="34" spans="1:20" ht="24.75" customHeight="1">
      <c r="A34" s="5"/>
      <c r="B34" s="267" t="s">
        <v>88</v>
      </c>
      <c r="C34" s="268"/>
      <c r="D34" s="269"/>
      <c r="E34" s="269">
        <v>36</v>
      </c>
      <c r="F34" s="269"/>
      <c r="G34" s="269"/>
      <c r="H34" s="269"/>
      <c r="I34" s="269">
        <v>800</v>
      </c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70"/>
    </row>
    <row r="35" spans="1:20" ht="15.75">
      <c r="A35" s="5"/>
      <c r="B35" s="1235" t="s">
        <v>89</v>
      </c>
      <c r="C35" s="277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9">
        <v>738</v>
      </c>
    </row>
    <row r="36" spans="1:20" ht="16.5" thickBot="1">
      <c r="A36" s="5"/>
      <c r="B36" s="1237"/>
      <c r="C36" s="280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2">
        <v>626</v>
      </c>
    </row>
    <row r="37" spans="1:20" ht="25.5" customHeight="1" thickBot="1" thickTop="1">
      <c r="A37" s="5"/>
      <c r="B37" s="283" t="s">
        <v>45</v>
      </c>
      <c r="C37" s="243">
        <f aca="true" t="shared" si="0" ref="C37:T37">COUNTIF(C11:C36,"&gt;0")</f>
        <v>11</v>
      </c>
      <c r="D37" s="155">
        <f t="shared" si="0"/>
        <v>7</v>
      </c>
      <c r="E37" s="155">
        <f t="shared" si="0"/>
        <v>5</v>
      </c>
      <c r="F37" s="155">
        <f t="shared" si="0"/>
        <v>0</v>
      </c>
      <c r="G37" s="155">
        <f t="shared" si="0"/>
        <v>1</v>
      </c>
      <c r="H37" s="156">
        <f t="shared" si="0"/>
        <v>0</v>
      </c>
      <c r="I37" s="244">
        <f t="shared" si="0"/>
        <v>5</v>
      </c>
      <c r="J37" s="243">
        <f t="shared" si="0"/>
        <v>0</v>
      </c>
      <c r="K37" s="155">
        <f t="shared" si="0"/>
        <v>0</v>
      </c>
      <c r="L37" s="156">
        <f t="shared" si="0"/>
        <v>0</v>
      </c>
      <c r="M37" s="243">
        <f t="shared" si="0"/>
        <v>1</v>
      </c>
      <c r="N37" s="156">
        <f t="shared" si="0"/>
        <v>0</v>
      </c>
      <c r="O37" s="244">
        <f t="shared" si="0"/>
        <v>2</v>
      </c>
      <c r="P37" s="243">
        <f t="shared" si="0"/>
        <v>0</v>
      </c>
      <c r="Q37" s="245">
        <f t="shared" si="0"/>
        <v>2</v>
      </c>
      <c r="R37" s="155">
        <f t="shared" si="0"/>
        <v>0</v>
      </c>
      <c r="S37" s="155">
        <f t="shared" si="0"/>
        <v>2</v>
      </c>
      <c r="T37" s="156">
        <f t="shared" si="0"/>
        <v>2</v>
      </c>
    </row>
    <row r="38" spans="1:20" ht="26.25" customHeight="1" thickBot="1" thickTop="1">
      <c r="A38" s="5"/>
      <c r="B38" s="284" t="s">
        <v>92</v>
      </c>
      <c r="C38" s="247">
        <f aca="true" t="shared" si="1" ref="C38:Q38">C10*C37</f>
        <v>3793.3500000000004</v>
      </c>
      <c r="D38" s="157">
        <f t="shared" si="1"/>
        <v>1117.0600000000002</v>
      </c>
      <c r="E38" s="157">
        <f t="shared" si="1"/>
        <v>1249.25</v>
      </c>
      <c r="F38" s="157">
        <f t="shared" si="1"/>
        <v>0</v>
      </c>
      <c r="G38" s="157">
        <f t="shared" si="1"/>
        <v>25</v>
      </c>
      <c r="H38" s="176">
        <f t="shared" si="1"/>
        <v>0</v>
      </c>
      <c r="I38" s="248">
        <f t="shared" si="1"/>
        <v>4030</v>
      </c>
      <c r="J38" s="247">
        <f t="shared" si="1"/>
        <v>0</v>
      </c>
      <c r="K38" s="157">
        <f t="shared" si="1"/>
        <v>0</v>
      </c>
      <c r="L38" s="176">
        <f t="shared" si="1"/>
        <v>0</v>
      </c>
      <c r="M38" s="247">
        <f t="shared" si="1"/>
        <v>95</v>
      </c>
      <c r="N38" s="176">
        <f t="shared" si="1"/>
        <v>0</v>
      </c>
      <c r="O38" s="248">
        <f t="shared" si="1"/>
        <v>236.8</v>
      </c>
      <c r="P38" s="247">
        <f t="shared" si="1"/>
        <v>0</v>
      </c>
      <c r="Q38" s="157">
        <f t="shared" si="1"/>
        <v>370.54</v>
      </c>
      <c r="R38" s="158">
        <f>R37*373</f>
        <v>0</v>
      </c>
      <c r="S38" s="157">
        <f>S10*S37</f>
        <v>600</v>
      </c>
      <c r="T38" s="176">
        <f>T10*T37</f>
        <v>600</v>
      </c>
    </row>
    <row r="39" spans="2:20" ht="15" customHeight="1" thickBot="1" thickTop="1">
      <c r="B39" s="285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</row>
    <row r="40" spans="2:7" ht="21.75" thickBot="1" thickTop="1">
      <c r="B40" s="1166" t="s">
        <v>58</v>
      </c>
      <c r="C40" s="1167"/>
      <c r="D40" s="1167"/>
      <c r="E40" s="1040">
        <f>C37+D37+E37+F37+G37+H37+I37+J37+K37+L37+M37+N37+O37+P37+Q37+S37+T37</f>
        <v>38</v>
      </c>
      <c r="G40" s="107"/>
    </row>
  </sheetData>
  <sheetProtection/>
  <mergeCells count="12">
    <mergeCell ref="B35:B36"/>
    <mergeCell ref="B40:D40"/>
    <mergeCell ref="B8:B9"/>
    <mergeCell ref="C8:H8"/>
    <mergeCell ref="I8:I9"/>
    <mergeCell ref="J8:L8"/>
    <mergeCell ref="M8:N8"/>
    <mergeCell ref="O8:O9"/>
    <mergeCell ref="P8:T8"/>
    <mergeCell ref="B19:B20"/>
    <mergeCell ref="B27:B28"/>
    <mergeCell ref="B29:B30"/>
  </mergeCells>
  <printOptions/>
  <pageMargins left="0.47" right="0.19" top="0.16" bottom="0.3" header="0.27" footer="0.33"/>
  <pageSetup fitToHeight="1" fitToWidth="1" horizontalDpi="600" verticalDpi="600" orientation="landscape" paperSize="8" scale="76"/>
  <colBreaks count="1" manualBreakCount="1">
    <brk id="20" max="81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D74"/>
  <sheetViews>
    <sheetView showGridLines="0" zoomScalePageLayoutView="0" workbookViewId="0" topLeftCell="A1">
      <pane ySplit="5" topLeftCell="A62" activePane="bottomLeft" state="frozen"/>
      <selection pane="topLeft" activeCell="K1" sqref="K1"/>
      <selection pane="bottomLeft" activeCell="A76" sqref="A75:IV76"/>
    </sheetView>
  </sheetViews>
  <sheetFormatPr defaultColWidth="11.421875" defaultRowHeight="12.75"/>
  <cols>
    <col min="1" max="1" width="2.421875" style="0" customWidth="1"/>
    <col min="2" max="2" width="12.7109375" style="0" customWidth="1"/>
    <col min="3" max="3" width="10.00390625" style="0" customWidth="1"/>
    <col min="4" max="5" width="9.28125" style="188" customWidth="1"/>
    <col min="6" max="6" width="8.8515625" style="188" customWidth="1"/>
    <col min="7" max="7" width="8.421875" style="418" customWidth="1"/>
    <col min="8" max="8" width="11.8515625" style="188" customWidth="1"/>
    <col min="9" max="9" width="9.7109375" style="418" bestFit="1" customWidth="1"/>
    <col min="10" max="10" width="16.28125" style="10" bestFit="1" customWidth="1"/>
    <col min="11" max="11" width="13.421875" style="10" bestFit="1" customWidth="1"/>
    <col min="12" max="12" width="17.00390625" style="10" bestFit="1" customWidth="1"/>
    <col min="13" max="13" width="12.7109375" style="10" bestFit="1" customWidth="1"/>
    <col min="14" max="14" width="9.8515625" style="10" bestFit="1" customWidth="1"/>
    <col min="15" max="15" width="12.28125" style="10" bestFit="1" customWidth="1"/>
    <col min="16" max="16" width="12.28125" style="10" customWidth="1"/>
    <col min="17" max="17" width="15.421875" style="10" customWidth="1"/>
    <col min="18" max="18" width="13.421875" style="10" bestFit="1" customWidth="1"/>
    <col min="19" max="19" width="14.140625" style="10" bestFit="1" customWidth="1"/>
    <col min="20" max="20" width="11.421875" style="10" bestFit="1" customWidth="1"/>
    <col min="21" max="21" width="11.28125" style="10" customWidth="1"/>
    <col min="22" max="22" width="10.8515625" style="10" customWidth="1"/>
    <col min="23" max="24" width="13.140625" style="10" bestFit="1" customWidth="1"/>
    <col min="25" max="25" width="13.140625" style="192" bestFit="1" customWidth="1"/>
    <col min="26" max="26" width="11.421875" style="10" hidden="1" customWidth="1"/>
    <col min="27" max="27" width="11.140625" style="10" bestFit="1" customWidth="1"/>
    <col min="28" max="28" width="14.421875" style="10" bestFit="1" customWidth="1"/>
  </cols>
  <sheetData>
    <row r="1" spans="2:9" ht="13.5" thickBot="1">
      <c r="B1" s="5"/>
      <c r="C1" s="5"/>
      <c r="D1" s="184"/>
      <c r="E1" s="184"/>
      <c r="F1" s="184"/>
      <c r="G1" s="286"/>
      <c r="H1" s="184"/>
      <c r="I1" s="286"/>
    </row>
    <row r="2" spans="1:28" ht="29.25" customHeight="1" thickBot="1">
      <c r="A2" s="5"/>
      <c r="B2" s="1347" t="s">
        <v>21</v>
      </c>
      <c r="C2" s="1348"/>
      <c r="D2" s="1351" t="s">
        <v>119</v>
      </c>
      <c r="E2" s="1338" t="s">
        <v>120</v>
      </c>
      <c r="F2" s="1354" t="s">
        <v>121</v>
      </c>
      <c r="G2" s="1338" t="s">
        <v>122</v>
      </c>
      <c r="H2" s="1351" t="s">
        <v>123</v>
      </c>
      <c r="I2" s="1338" t="s">
        <v>124</v>
      </c>
      <c r="J2" s="1340" t="s">
        <v>0</v>
      </c>
      <c r="K2" s="1341"/>
      <c r="L2" s="1341"/>
      <c r="M2" s="1341"/>
      <c r="N2" s="1341"/>
      <c r="O2" s="1341"/>
      <c r="P2" s="1342"/>
      <c r="Q2" s="1343" t="s">
        <v>125</v>
      </c>
      <c r="R2" s="1322" t="s">
        <v>1</v>
      </c>
      <c r="S2" s="1323"/>
      <c r="T2" s="1324"/>
      <c r="U2" s="1322" t="s">
        <v>2</v>
      </c>
      <c r="V2" s="1345"/>
      <c r="W2" s="1343" t="s">
        <v>126</v>
      </c>
      <c r="X2" s="1322" t="s">
        <v>3</v>
      </c>
      <c r="Y2" s="1323"/>
      <c r="Z2" s="1323"/>
      <c r="AA2" s="1323"/>
      <c r="AB2" s="1324"/>
    </row>
    <row r="3" spans="1:30" ht="66.75" customHeight="1" thickBot="1">
      <c r="A3" s="193"/>
      <c r="B3" s="1349"/>
      <c r="C3" s="1350"/>
      <c r="D3" s="1352"/>
      <c r="E3" s="1353"/>
      <c r="F3" s="1355"/>
      <c r="G3" s="1353"/>
      <c r="H3" s="1352"/>
      <c r="I3" s="1339"/>
      <c r="J3" s="287" t="s">
        <v>4</v>
      </c>
      <c r="K3" s="288" t="s">
        <v>127</v>
      </c>
      <c r="L3" s="288" t="s">
        <v>5</v>
      </c>
      <c r="M3" s="288" t="s">
        <v>7</v>
      </c>
      <c r="N3" s="288" t="s">
        <v>8</v>
      </c>
      <c r="O3" s="289" t="s">
        <v>9</v>
      </c>
      <c r="P3" s="290" t="s">
        <v>128</v>
      </c>
      <c r="Q3" s="1344"/>
      <c r="R3" s="291" t="s">
        <v>11</v>
      </c>
      <c r="S3" s="288" t="s">
        <v>12</v>
      </c>
      <c r="T3" s="290" t="s">
        <v>13</v>
      </c>
      <c r="U3" s="291" t="s">
        <v>14</v>
      </c>
      <c r="V3" s="292" t="s">
        <v>15</v>
      </c>
      <c r="W3" s="1346"/>
      <c r="X3" s="291" t="s">
        <v>17</v>
      </c>
      <c r="Y3" s="293" t="s">
        <v>18</v>
      </c>
      <c r="Z3" s="288"/>
      <c r="AA3" s="288" t="s">
        <v>19</v>
      </c>
      <c r="AB3" s="294" t="s">
        <v>20</v>
      </c>
      <c r="AC3" s="3"/>
      <c r="AD3" s="3"/>
    </row>
    <row r="4" spans="1:30" ht="17.25" customHeight="1" thickBot="1">
      <c r="A4" s="193"/>
      <c r="B4" s="1325" t="s">
        <v>129</v>
      </c>
      <c r="C4" s="1326"/>
      <c r="D4" s="295"/>
      <c r="E4" s="296"/>
      <c r="F4" s="297"/>
      <c r="G4" s="298"/>
      <c r="H4" s="295"/>
      <c r="I4" s="298"/>
      <c r="J4" s="291" t="s">
        <v>130</v>
      </c>
      <c r="K4" s="288" t="s">
        <v>131</v>
      </c>
      <c r="L4" s="288" t="s">
        <v>132</v>
      </c>
      <c r="M4" s="288" t="s">
        <v>133</v>
      </c>
      <c r="N4" s="288" t="s">
        <v>133</v>
      </c>
      <c r="O4" s="288" t="s">
        <v>134</v>
      </c>
      <c r="P4" s="288" t="s">
        <v>54</v>
      </c>
      <c r="Q4" s="299" t="s">
        <v>54</v>
      </c>
      <c r="R4" s="300" t="s">
        <v>54</v>
      </c>
      <c r="S4" s="300" t="s">
        <v>135</v>
      </c>
      <c r="T4" s="300" t="s">
        <v>133</v>
      </c>
      <c r="U4" s="300" t="s">
        <v>136</v>
      </c>
      <c r="V4" s="300" t="s">
        <v>54</v>
      </c>
      <c r="W4" s="301" t="s">
        <v>136</v>
      </c>
      <c r="X4" s="300" t="s">
        <v>134</v>
      </c>
      <c r="Y4" s="302" t="s">
        <v>137</v>
      </c>
      <c r="Z4" s="300"/>
      <c r="AA4" s="300" t="s">
        <v>134</v>
      </c>
      <c r="AB4" s="290" t="s">
        <v>134</v>
      </c>
      <c r="AC4" s="3"/>
      <c r="AD4" s="3"/>
    </row>
    <row r="5" spans="1:30" ht="41.25" customHeight="1" thickBot="1">
      <c r="A5" s="193"/>
      <c r="B5" s="1327" t="s">
        <v>138</v>
      </c>
      <c r="C5" s="1328"/>
      <c r="D5" s="303"/>
      <c r="E5" s="304"/>
      <c r="F5" s="303"/>
      <c r="G5" s="305"/>
      <c r="H5" s="306"/>
      <c r="I5" s="307"/>
      <c r="J5" s="308">
        <v>361.58</v>
      </c>
      <c r="K5" s="309">
        <v>239.1</v>
      </c>
      <c r="L5" s="309">
        <v>196.03</v>
      </c>
      <c r="M5" s="309">
        <v>136.22</v>
      </c>
      <c r="N5" s="309">
        <v>84.2</v>
      </c>
      <c r="O5" s="310">
        <v>91.49</v>
      </c>
      <c r="P5" s="310">
        <v>275.18</v>
      </c>
      <c r="Q5" s="311">
        <v>805.98</v>
      </c>
      <c r="R5" s="312">
        <v>198.98</v>
      </c>
      <c r="S5" s="313">
        <v>150.1</v>
      </c>
      <c r="T5" s="314">
        <v>119.42</v>
      </c>
      <c r="U5" s="312">
        <v>122.48</v>
      </c>
      <c r="V5" s="315">
        <v>151</v>
      </c>
      <c r="W5" s="316">
        <v>83.12</v>
      </c>
      <c r="X5" s="312">
        <v>300</v>
      </c>
      <c r="Y5" s="313">
        <v>165.55</v>
      </c>
      <c r="Z5" s="313"/>
      <c r="AA5" s="313">
        <v>300</v>
      </c>
      <c r="AB5" s="317">
        <v>300</v>
      </c>
      <c r="AC5" s="3"/>
      <c r="AD5" s="3"/>
    </row>
    <row r="6" spans="2:28" s="5" customFormat="1" ht="12.75">
      <c r="B6" s="1329" t="s">
        <v>139</v>
      </c>
      <c r="C6" s="1330"/>
      <c r="D6" s="1335">
        <v>14</v>
      </c>
      <c r="E6" s="1307">
        <f>D6/$D$72</f>
        <v>0.01832460732984293</v>
      </c>
      <c r="F6" s="1304">
        <v>5</v>
      </c>
      <c r="G6" s="1307">
        <f>F6/D6</f>
        <v>0.35714285714285715</v>
      </c>
      <c r="H6" s="1283">
        <f>SUM(J5*3)+(Q5)+(R5)</f>
        <v>2089.7</v>
      </c>
      <c r="I6" s="1286">
        <f>H6/H72</f>
        <v>0.03731515853987143</v>
      </c>
      <c r="J6" s="318">
        <v>594</v>
      </c>
      <c r="K6" s="319"/>
      <c r="L6" s="320"/>
      <c r="M6" s="320"/>
      <c r="N6" s="320"/>
      <c r="O6" s="321"/>
      <c r="P6" s="322"/>
      <c r="Q6" s="323">
        <v>87</v>
      </c>
      <c r="R6" s="318"/>
      <c r="S6" s="320"/>
      <c r="T6" s="324"/>
      <c r="U6" s="318"/>
      <c r="V6" s="321"/>
      <c r="W6" s="323"/>
      <c r="X6" s="318"/>
      <c r="Y6" s="319"/>
      <c r="Z6" s="319"/>
      <c r="AA6" s="319"/>
      <c r="AB6" s="322"/>
    </row>
    <row r="7" spans="2:28" s="5" customFormat="1" ht="12.75">
      <c r="B7" s="1331"/>
      <c r="C7" s="1332"/>
      <c r="D7" s="1336"/>
      <c r="E7" s="1308"/>
      <c r="F7" s="1305"/>
      <c r="G7" s="1308"/>
      <c r="H7" s="1284"/>
      <c r="I7" s="1287"/>
      <c r="J7" s="325">
        <v>665</v>
      </c>
      <c r="K7" s="326"/>
      <c r="L7" s="327"/>
      <c r="M7" s="327"/>
      <c r="N7" s="327"/>
      <c r="O7" s="328"/>
      <c r="P7" s="329"/>
      <c r="Q7" s="330"/>
      <c r="R7" s="325"/>
      <c r="S7" s="327"/>
      <c r="T7" s="331"/>
      <c r="U7" s="325"/>
      <c r="V7" s="328"/>
      <c r="W7" s="330"/>
      <c r="X7" s="325"/>
      <c r="Y7" s="326"/>
      <c r="Z7" s="326"/>
      <c r="AA7" s="326"/>
      <c r="AB7" s="329"/>
    </row>
    <row r="8" spans="2:28" s="1" customFormat="1" ht="13.5" thickBot="1">
      <c r="B8" s="1333"/>
      <c r="C8" s="1334"/>
      <c r="D8" s="1337"/>
      <c r="E8" s="1309"/>
      <c r="F8" s="1306"/>
      <c r="G8" s="1309"/>
      <c r="H8" s="1285"/>
      <c r="I8" s="1288"/>
      <c r="J8" s="332">
        <v>781</v>
      </c>
      <c r="K8" s="333"/>
      <c r="L8" s="334"/>
      <c r="M8" s="334"/>
      <c r="N8" s="334"/>
      <c r="O8" s="335"/>
      <c r="P8" s="336"/>
      <c r="Q8" s="337"/>
      <c r="R8" s="332">
        <v>541</v>
      </c>
      <c r="S8" s="334"/>
      <c r="T8" s="338"/>
      <c r="U8" s="332"/>
      <c r="V8" s="335"/>
      <c r="W8" s="337"/>
      <c r="X8" s="332"/>
      <c r="Y8" s="339"/>
      <c r="Z8" s="339"/>
      <c r="AA8" s="339"/>
      <c r="AB8" s="336"/>
    </row>
    <row r="9" spans="2:28" s="1" customFormat="1" ht="13.5" thickBot="1">
      <c r="B9" s="1277" t="s">
        <v>140</v>
      </c>
      <c r="C9" s="1278"/>
      <c r="D9" s="340">
        <v>32</v>
      </c>
      <c r="E9" s="341">
        <f>D9/$D$72</f>
        <v>0.041884816753926704</v>
      </c>
      <c r="F9" s="340">
        <v>2</v>
      </c>
      <c r="G9" s="341">
        <f>F9/D9</f>
        <v>0.0625</v>
      </c>
      <c r="H9" s="342">
        <f>SUM(1*M5)+(1*AA5)</f>
        <v>436.22</v>
      </c>
      <c r="I9" s="343">
        <f>H9/H72</f>
        <v>0.007789452293756385</v>
      </c>
      <c r="J9" s="344"/>
      <c r="K9" s="345"/>
      <c r="L9" s="345"/>
      <c r="M9" s="345">
        <v>393</v>
      </c>
      <c r="N9" s="345"/>
      <c r="O9" s="346"/>
      <c r="P9" s="347"/>
      <c r="Q9" s="348"/>
      <c r="R9" s="344"/>
      <c r="S9" s="345"/>
      <c r="T9" s="347"/>
      <c r="U9" s="344"/>
      <c r="V9" s="346"/>
      <c r="W9" s="348"/>
      <c r="X9" s="344"/>
      <c r="Y9" s="345"/>
      <c r="Z9" s="345"/>
      <c r="AA9" s="345">
        <v>947</v>
      </c>
      <c r="AB9" s="347"/>
    </row>
    <row r="10" spans="1:28" s="6" customFormat="1" ht="12.75">
      <c r="A10" s="1"/>
      <c r="B10" s="1270" t="s">
        <v>141</v>
      </c>
      <c r="C10" s="1271"/>
      <c r="D10" s="1275">
        <v>61</v>
      </c>
      <c r="E10" s="1263">
        <f>D10/$D$72</f>
        <v>0.07984293193717278</v>
      </c>
      <c r="F10" s="1259">
        <v>16</v>
      </c>
      <c r="G10" s="1262">
        <f>F10/D10</f>
        <v>0.26229508196721313</v>
      </c>
      <c r="H10" s="1265">
        <f>SUM(3*J5)+(2*K5)+(1*L5)+(1*M5)+(1*Q5)+(1*V5)+(3*W5)+(4*Y5)</f>
        <v>3763.7300000000005</v>
      </c>
      <c r="I10" s="1238">
        <f>H10/H72</f>
        <v>0.06720782009440127</v>
      </c>
      <c r="J10" s="349">
        <v>110</v>
      </c>
      <c r="K10" s="350">
        <v>285</v>
      </c>
      <c r="L10" s="350">
        <v>787</v>
      </c>
      <c r="M10" s="350">
        <v>128</v>
      </c>
      <c r="N10" s="350"/>
      <c r="O10" s="351"/>
      <c r="P10" s="352"/>
      <c r="Q10" s="353">
        <v>773</v>
      </c>
      <c r="R10" s="349"/>
      <c r="S10" s="350"/>
      <c r="T10" s="352"/>
      <c r="U10" s="349"/>
      <c r="V10" s="351">
        <v>618</v>
      </c>
      <c r="W10" s="353">
        <v>61</v>
      </c>
      <c r="X10" s="349"/>
      <c r="Y10" s="350">
        <v>79</v>
      </c>
      <c r="Z10" s="350"/>
      <c r="AA10" s="350"/>
      <c r="AB10" s="352"/>
    </row>
    <row r="11" spans="1:28" s="6" customFormat="1" ht="12.75">
      <c r="A11" s="1"/>
      <c r="B11" s="1270"/>
      <c r="C11" s="1271"/>
      <c r="D11" s="1275"/>
      <c r="E11" s="1263"/>
      <c r="F11" s="1260"/>
      <c r="G11" s="1263"/>
      <c r="H11" s="1266"/>
      <c r="I11" s="1239"/>
      <c r="J11" s="354">
        <v>602</v>
      </c>
      <c r="K11" s="355">
        <v>556</v>
      </c>
      <c r="L11" s="355"/>
      <c r="M11" s="355"/>
      <c r="N11" s="355"/>
      <c r="O11" s="356"/>
      <c r="P11" s="357"/>
      <c r="Q11" s="358"/>
      <c r="R11" s="354"/>
      <c r="S11" s="355"/>
      <c r="T11" s="359"/>
      <c r="U11" s="360"/>
      <c r="V11" s="361"/>
      <c r="W11" s="358">
        <v>146</v>
      </c>
      <c r="X11" s="354"/>
      <c r="Y11" s="355">
        <v>260</v>
      </c>
      <c r="Z11" s="355"/>
      <c r="AA11" s="355"/>
      <c r="AB11" s="357"/>
    </row>
    <row r="12" spans="1:28" s="6" customFormat="1" ht="12.75">
      <c r="A12" s="1"/>
      <c r="B12" s="1270"/>
      <c r="C12" s="1271"/>
      <c r="D12" s="1275"/>
      <c r="E12" s="1263"/>
      <c r="F12" s="1260"/>
      <c r="G12" s="1263"/>
      <c r="H12" s="1266"/>
      <c r="I12" s="1239"/>
      <c r="J12" s="354"/>
      <c r="K12" s="355"/>
      <c r="L12" s="355"/>
      <c r="M12" s="355"/>
      <c r="N12" s="355"/>
      <c r="O12" s="356"/>
      <c r="P12" s="357"/>
      <c r="Q12" s="358"/>
      <c r="R12" s="354"/>
      <c r="S12" s="355"/>
      <c r="T12" s="359"/>
      <c r="U12" s="360"/>
      <c r="V12" s="361"/>
      <c r="W12" s="358">
        <v>261</v>
      </c>
      <c r="X12" s="354"/>
      <c r="Y12" s="355">
        <v>198</v>
      </c>
      <c r="Z12" s="355"/>
      <c r="AA12" s="355"/>
      <c r="AB12" s="357"/>
    </row>
    <row r="13" spans="1:28" s="6" customFormat="1" ht="13.5" thickBot="1">
      <c r="A13" s="1"/>
      <c r="B13" s="1270"/>
      <c r="C13" s="1271"/>
      <c r="D13" s="1275"/>
      <c r="E13" s="1263"/>
      <c r="F13" s="1261"/>
      <c r="G13" s="1264"/>
      <c r="H13" s="1267"/>
      <c r="I13" s="1240"/>
      <c r="J13" s="354">
        <v>149</v>
      </c>
      <c r="K13" s="355"/>
      <c r="L13" s="355"/>
      <c r="M13" s="355"/>
      <c r="N13" s="355"/>
      <c r="O13" s="356"/>
      <c r="P13" s="357"/>
      <c r="Q13" s="358"/>
      <c r="R13" s="354"/>
      <c r="S13" s="362"/>
      <c r="T13" s="357"/>
      <c r="U13" s="354"/>
      <c r="V13" s="356"/>
      <c r="W13" s="358"/>
      <c r="X13" s="354"/>
      <c r="Y13" s="362">
        <v>38</v>
      </c>
      <c r="Z13" s="362"/>
      <c r="AA13" s="362"/>
      <c r="AB13" s="357"/>
    </row>
    <row r="14" spans="1:28" s="6" customFormat="1" ht="14.25" customHeight="1">
      <c r="A14" s="1"/>
      <c r="B14" s="1268" t="s">
        <v>142</v>
      </c>
      <c r="C14" s="1269"/>
      <c r="D14" s="1259">
        <v>17</v>
      </c>
      <c r="E14" s="1318">
        <f>D14/$D$72</f>
        <v>0.02225130890052356</v>
      </c>
      <c r="F14" s="1274">
        <v>6</v>
      </c>
      <c r="G14" s="1262">
        <f>F14/D14</f>
        <v>0.35294117647058826</v>
      </c>
      <c r="H14" s="1320">
        <f>SUM(1*J5)+(2*S5)+(2*W5)+(1*Q5)</f>
        <v>1634</v>
      </c>
      <c r="I14" s="1316">
        <f>H14/H72</f>
        <v>0.02917785761312625</v>
      </c>
      <c r="J14" s="363">
        <v>466</v>
      </c>
      <c r="K14" s="319"/>
      <c r="L14" s="319"/>
      <c r="M14" s="364"/>
      <c r="N14" s="319"/>
      <c r="O14" s="364"/>
      <c r="P14" s="322"/>
      <c r="Q14" s="323">
        <v>752</v>
      </c>
      <c r="R14" s="364"/>
      <c r="S14" s="319">
        <v>558</v>
      </c>
      <c r="T14" s="364"/>
      <c r="U14" s="365"/>
      <c r="V14" s="364"/>
      <c r="W14" s="323">
        <v>103</v>
      </c>
      <c r="X14" s="364"/>
      <c r="Y14" s="319"/>
      <c r="Z14" s="318"/>
      <c r="AA14" s="321"/>
      <c r="AB14" s="322"/>
    </row>
    <row r="15" spans="1:28" s="6" customFormat="1" ht="14.25" customHeight="1" thickBot="1">
      <c r="A15" s="1"/>
      <c r="B15" s="1272"/>
      <c r="C15" s="1273"/>
      <c r="D15" s="1261"/>
      <c r="E15" s="1319"/>
      <c r="F15" s="1276"/>
      <c r="G15" s="1264"/>
      <c r="H15" s="1321"/>
      <c r="I15" s="1317"/>
      <c r="J15" s="366"/>
      <c r="K15" s="367"/>
      <c r="L15" s="367"/>
      <c r="M15" s="368"/>
      <c r="N15" s="367"/>
      <c r="O15" s="368"/>
      <c r="P15" s="369"/>
      <c r="Q15" s="370"/>
      <c r="R15" s="368"/>
      <c r="S15" s="339">
        <v>117</v>
      </c>
      <c r="T15" s="368"/>
      <c r="U15" s="371"/>
      <c r="V15" s="368"/>
      <c r="W15" s="370">
        <v>161</v>
      </c>
      <c r="X15" s="368"/>
      <c r="Y15" s="367"/>
      <c r="Z15" s="372"/>
      <c r="AA15" s="373"/>
      <c r="AB15" s="369"/>
    </row>
    <row r="16" spans="1:28" s="6" customFormat="1" ht="12.75">
      <c r="A16" s="1"/>
      <c r="B16" s="1270" t="s">
        <v>143</v>
      </c>
      <c r="C16" s="1271"/>
      <c r="D16" s="1275">
        <v>28</v>
      </c>
      <c r="E16" s="1263">
        <f>D16/$D$72</f>
        <v>0.03664921465968586</v>
      </c>
      <c r="F16" s="1260">
        <v>8</v>
      </c>
      <c r="G16" s="1263">
        <f>F16/D16</f>
        <v>0.2857142857142857</v>
      </c>
      <c r="H16" s="1266">
        <f>SUM(2*J5)+(1*S5)+(1*U5)+(4*Y5)</f>
        <v>1657.94</v>
      </c>
      <c r="I16" s="1239">
        <f>H16/H72</f>
        <v>0.02960534715489996</v>
      </c>
      <c r="J16" s="349">
        <v>242</v>
      </c>
      <c r="K16" s="350"/>
      <c r="L16" s="350"/>
      <c r="M16" s="350"/>
      <c r="N16" s="350"/>
      <c r="O16" s="374">
        <v>616</v>
      </c>
      <c r="P16" s="352"/>
      <c r="Q16" s="353"/>
      <c r="R16" s="349"/>
      <c r="S16" s="350">
        <v>388</v>
      </c>
      <c r="T16" s="352"/>
      <c r="U16" s="349">
        <v>237</v>
      </c>
      <c r="V16" s="351"/>
      <c r="W16" s="353"/>
      <c r="X16" s="349"/>
      <c r="Y16" s="350">
        <v>409</v>
      </c>
      <c r="Z16" s="350"/>
      <c r="AA16" s="350"/>
      <c r="AB16" s="352"/>
    </row>
    <row r="17" spans="1:28" s="6" customFormat="1" ht="12.75">
      <c r="A17" s="1"/>
      <c r="B17" s="1270"/>
      <c r="C17" s="1271"/>
      <c r="D17" s="1275"/>
      <c r="E17" s="1263"/>
      <c r="F17" s="1260"/>
      <c r="G17" s="1263"/>
      <c r="H17" s="1266"/>
      <c r="I17" s="1239"/>
      <c r="J17" s="349"/>
      <c r="K17" s="350"/>
      <c r="L17" s="350"/>
      <c r="M17" s="350"/>
      <c r="N17" s="350"/>
      <c r="O17" s="374"/>
      <c r="P17" s="352"/>
      <c r="Q17" s="353"/>
      <c r="R17" s="349"/>
      <c r="S17" s="350"/>
      <c r="T17" s="352"/>
      <c r="U17" s="349"/>
      <c r="V17" s="351"/>
      <c r="W17" s="353"/>
      <c r="X17" s="349"/>
      <c r="Y17" s="375">
        <v>616</v>
      </c>
      <c r="Z17" s="350"/>
      <c r="AA17" s="350"/>
      <c r="AB17" s="352"/>
    </row>
    <row r="18" spans="1:28" s="6" customFormat="1" ht="12.75">
      <c r="A18" s="1"/>
      <c r="B18" s="1270"/>
      <c r="C18" s="1271"/>
      <c r="D18" s="1275"/>
      <c r="E18" s="1263"/>
      <c r="F18" s="1260"/>
      <c r="G18" s="1263"/>
      <c r="H18" s="1266"/>
      <c r="I18" s="1239"/>
      <c r="J18" s="354">
        <v>378</v>
      </c>
      <c r="K18" s="376"/>
      <c r="L18" s="362"/>
      <c r="M18" s="362"/>
      <c r="N18" s="362"/>
      <c r="O18" s="356"/>
      <c r="P18" s="357"/>
      <c r="Q18" s="358"/>
      <c r="R18" s="354"/>
      <c r="S18" s="362"/>
      <c r="T18" s="357"/>
      <c r="U18" s="354"/>
      <c r="V18" s="356"/>
      <c r="W18" s="358"/>
      <c r="X18" s="354"/>
      <c r="Y18" s="362">
        <v>616</v>
      </c>
      <c r="Z18" s="362"/>
      <c r="AA18" s="362"/>
      <c r="AB18" s="357"/>
    </row>
    <row r="19" spans="1:28" s="6" customFormat="1" ht="12.75">
      <c r="A19" s="1"/>
      <c r="B19" s="1270"/>
      <c r="C19" s="1271"/>
      <c r="D19" s="1275"/>
      <c r="E19" s="1263"/>
      <c r="F19" s="1260"/>
      <c r="G19" s="1263"/>
      <c r="H19" s="1266"/>
      <c r="I19" s="1239"/>
      <c r="J19" s="377"/>
      <c r="K19" s="378"/>
      <c r="L19" s="379"/>
      <c r="M19" s="379"/>
      <c r="N19" s="379"/>
      <c r="O19" s="380"/>
      <c r="P19" s="381"/>
      <c r="Q19" s="382"/>
      <c r="R19" s="377"/>
      <c r="S19" s="379"/>
      <c r="T19" s="381"/>
      <c r="U19" s="377"/>
      <c r="V19" s="380"/>
      <c r="W19" s="382"/>
      <c r="X19" s="377"/>
      <c r="Y19" s="379">
        <v>610</v>
      </c>
      <c r="Z19" s="379"/>
      <c r="AA19" s="379"/>
      <c r="AB19" s="381"/>
    </row>
    <row r="20" spans="1:28" s="6" customFormat="1" ht="13.5" thickBot="1">
      <c r="A20" s="1"/>
      <c r="B20" s="1272"/>
      <c r="C20" s="1273"/>
      <c r="D20" s="1276"/>
      <c r="E20" s="1264"/>
      <c r="F20" s="1261"/>
      <c r="G20" s="1264"/>
      <c r="H20" s="1267"/>
      <c r="I20" s="1240"/>
      <c r="J20" s="332"/>
      <c r="K20" s="339"/>
      <c r="L20" s="339"/>
      <c r="M20" s="339"/>
      <c r="N20" s="339"/>
      <c r="O20" s="335"/>
      <c r="P20" s="336"/>
      <c r="Q20" s="337"/>
      <c r="R20" s="332"/>
      <c r="S20" s="339"/>
      <c r="T20" s="336"/>
      <c r="U20" s="332"/>
      <c r="V20" s="335"/>
      <c r="W20" s="337"/>
      <c r="X20" s="332"/>
      <c r="Y20" s="339">
        <v>416</v>
      </c>
      <c r="Z20" s="339"/>
      <c r="AA20" s="339"/>
      <c r="AB20" s="336"/>
    </row>
    <row r="21" spans="2:28" s="1" customFormat="1" ht="12.75">
      <c r="B21" s="1268" t="s">
        <v>144</v>
      </c>
      <c r="C21" s="1269"/>
      <c r="D21" s="1274">
        <v>31</v>
      </c>
      <c r="E21" s="1262">
        <f>D21/$D$72</f>
        <v>0.04057591623036649</v>
      </c>
      <c r="F21" s="1259">
        <v>6</v>
      </c>
      <c r="G21" s="1262">
        <f>F21/D21</f>
        <v>0.1935483870967742</v>
      </c>
      <c r="H21" s="1265">
        <f>SUM(2*J5)+(2*Y5)+(2*Q5)</f>
        <v>2666.2200000000003</v>
      </c>
      <c r="I21" s="1238">
        <f>H21/H72</f>
        <v>0.04760990668621143</v>
      </c>
      <c r="J21" s="349">
        <v>624</v>
      </c>
      <c r="K21" s="350"/>
      <c r="L21" s="350"/>
      <c r="M21" s="350"/>
      <c r="N21" s="350"/>
      <c r="O21" s="351"/>
      <c r="P21" s="352"/>
      <c r="Q21" s="353">
        <v>432</v>
      </c>
      <c r="R21" s="349"/>
      <c r="S21" s="350"/>
      <c r="T21" s="352"/>
      <c r="U21" s="349"/>
      <c r="V21" s="351"/>
      <c r="W21" s="353"/>
      <c r="X21" s="349"/>
      <c r="Y21" s="350">
        <v>750</v>
      </c>
      <c r="Z21" s="350"/>
      <c r="AA21" s="350"/>
      <c r="AB21" s="352"/>
    </row>
    <row r="22" spans="2:28" s="1" customFormat="1" ht="13.5" thickBot="1">
      <c r="B22" s="1270"/>
      <c r="C22" s="1271"/>
      <c r="D22" s="1275"/>
      <c r="E22" s="1263"/>
      <c r="F22" s="1260"/>
      <c r="G22" s="1263"/>
      <c r="H22" s="1266"/>
      <c r="I22" s="1239"/>
      <c r="J22" s="354">
        <v>561</v>
      </c>
      <c r="K22" s="362"/>
      <c r="L22" s="362"/>
      <c r="M22" s="362"/>
      <c r="N22" s="362"/>
      <c r="O22" s="356"/>
      <c r="P22" s="357"/>
      <c r="Q22" s="358">
        <v>515</v>
      </c>
      <c r="R22" s="354"/>
      <c r="S22" s="362"/>
      <c r="T22" s="357"/>
      <c r="U22" s="354"/>
      <c r="V22" s="356"/>
      <c r="W22" s="358"/>
      <c r="X22" s="354"/>
      <c r="Y22" s="362">
        <v>21</v>
      </c>
      <c r="Z22" s="362"/>
      <c r="AA22" s="362"/>
      <c r="AB22" s="357"/>
    </row>
    <row r="23" spans="1:29" s="6" customFormat="1" ht="12.75">
      <c r="A23" s="1"/>
      <c r="B23" s="1314" t="s">
        <v>145</v>
      </c>
      <c r="C23" s="1268"/>
      <c r="D23" s="1274">
        <v>44</v>
      </c>
      <c r="E23" s="1262">
        <f>D23/$D$72</f>
        <v>0.05759162303664921</v>
      </c>
      <c r="F23" s="1259">
        <v>11</v>
      </c>
      <c r="G23" s="1262">
        <f>F23/D23</f>
        <v>0.25</v>
      </c>
      <c r="H23" s="1265">
        <f>SUM(3*J5)+(1*K5)+(1*Q5)+(1*R5)+(1*S5)+(1*W5)+(1*X5)+(2*P5)</f>
        <v>3412.3799999999997</v>
      </c>
      <c r="I23" s="1238">
        <f>H23/H72</f>
        <v>0.06093386643933889</v>
      </c>
      <c r="J23" s="318">
        <v>436</v>
      </c>
      <c r="K23" s="319">
        <v>949</v>
      </c>
      <c r="L23" s="319"/>
      <c r="M23" s="319"/>
      <c r="N23" s="319"/>
      <c r="O23" s="321"/>
      <c r="P23" s="383">
        <v>106</v>
      </c>
      <c r="Q23" s="323">
        <v>675</v>
      </c>
      <c r="R23" s="384"/>
      <c r="S23" s="319">
        <v>882</v>
      </c>
      <c r="T23" s="322"/>
      <c r="U23" s="318"/>
      <c r="V23" s="321"/>
      <c r="W23" s="323">
        <v>175</v>
      </c>
      <c r="X23" s="318">
        <v>102</v>
      </c>
      <c r="Y23" s="319"/>
      <c r="Z23" s="319"/>
      <c r="AA23" s="319"/>
      <c r="AB23" s="322"/>
      <c r="AC23" s="1311"/>
    </row>
    <row r="24" spans="2:29" s="1" customFormat="1" ht="12.75">
      <c r="B24" s="1315"/>
      <c r="C24" s="1270"/>
      <c r="D24" s="1275"/>
      <c r="E24" s="1263"/>
      <c r="F24" s="1260"/>
      <c r="G24" s="1263"/>
      <c r="H24" s="1266"/>
      <c r="I24" s="1239"/>
      <c r="J24" s="354">
        <v>53</v>
      </c>
      <c r="K24" s="362"/>
      <c r="L24" s="362"/>
      <c r="M24" s="362"/>
      <c r="N24" s="362"/>
      <c r="O24" s="356"/>
      <c r="P24" s="386">
        <v>34</v>
      </c>
      <c r="Q24" s="358"/>
      <c r="R24" s="387"/>
      <c r="S24" s="362"/>
      <c r="T24" s="357"/>
      <c r="U24" s="354"/>
      <c r="V24" s="356"/>
      <c r="W24" s="358"/>
      <c r="X24" s="354"/>
      <c r="Y24" s="362"/>
      <c r="Z24" s="362"/>
      <c r="AA24" s="362"/>
      <c r="AB24" s="357"/>
      <c r="AC24" s="1311"/>
    </row>
    <row r="25" spans="2:29" s="1" customFormat="1" ht="13.5" thickBot="1">
      <c r="B25" s="1315"/>
      <c r="C25" s="1270"/>
      <c r="D25" s="1275"/>
      <c r="E25" s="1263"/>
      <c r="F25" s="1261"/>
      <c r="G25" s="1264"/>
      <c r="H25" s="1267"/>
      <c r="I25" s="1240"/>
      <c r="J25" s="354">
        <v>776</v>
      </c>
      <c r="K25" s="362"/>
      <c r="L25" s="362"/>
      <c r="M25" s="362"/>
      <c r="N25" s="362"/>
      <c r="O25" s="356"/>
      <c r="P25" s="357"/>
      <c r="Q25" s="358"/>
      <c r="R25" s="354">
        <v>71</v>
      </c>
      <c r="S25" s="362"/>
      <c r="T25" s="357"/>
      <c r="U25" s="354"/>
      <c r="V25" s="356"/>
      <c r="W25" s="358"/>
      <c r="X25" s="354"/>
      <c r="Y25" s="362"/>
      <c r="Z25" s="362"/>
      <c r="AA25" s="362"/>
      <c r="AB25" s="357"/>
      <c r="AC25" s="1311"/>
    </row>
    <row r="26" spans="2:28" s="1" customFormat="1" ht="13.5" thickBot="1">
      <c r="B26" s="1312" t="s">
        <v>146</v>
      </c>
      <c r="C26" s="1313"/>
      <c r="D26" s="388">
        <v>22</v>
      </c>
      <c r="E26" s="389">
        <f>D26/$D$72</f>
        <v>0.028795811518324606</v>
      </c>
      <c r="F26" s="388">
        <v>4</v>
      </c>
      <c r="G26" s="389">
        <f>F26/D26</f>
        <v>0.18181818181818182</v>
      </c>
      <c r="H26" s="390">
        <f>SUM(1*J5)+(1*L5)+(1*Y5)+(1*S5)</f>
        <v>873.2600000000001</v>
      </c>
      <c r="I26" s="391">
        <f>H26/H72</f>
        <v>0.015593547086437351</v>
      </c>
      <c r="J26" s="318">
        <v>524</v>
      </c>
      <c r="K26" s="319"/>
      <c r="L26" s="319">
        <v>42</v>
      </c>
      <c r="M26" s="319"/>
      <c r="N26" s="319"/>
      <c r="O26" s="321"/>
      <c r="P26" s="322"/>
      <c r="Q26" s="323"/>
      <c r="R26" s="318"/>
      <c r="S26" s="319">
        <v>120</v>
      </c>
      <c r="T26" s="321"/>
      <c r="U26" s="365"/>
      <c r="V26" s="322"/>
      <c r="W26" s="323"/>
      <c r="X26" s="318"/>
      <c r="Y26" s="319">
        <v>386</v>
      </c>
      <c r="Z26" s="319"/>
      <c r="AA26" s="319"/>
      <c r="AB26" s="322"/>
    </row>
    <row r="27" spans="1:28" s="6" customFormat="1" ht="12.75">
      <c r="A27" s="1"/>
      <c r="B27" s="1268" t="s">
        <v>147</v>
      </c>
      <c r="C27" s="1269"/>
      <c r="D27" s="1274">
        <v>22</v>
      </c>
      <c r="E27" s="1262">
        <f>D27/$D$72</f>
        <v>0.028795811518324606</v>
      </c>
      <c r="F27" s="1259">
        <v>5</v>
      </c>
      <c r="G27" s="1262">
        <f>F27/D27</f>
        <v>0.22727272727272727</v>
      </c>
      <c r="H27" s="1265">
        <f>SUM(2*J5)+(1*O5)+(1*Q5)+(1*AB5)</f>
        <v>1920.63</v>
      </c>
      <c r="I27" s="1238">
        <f>H27/H72</f>
        <v>0.03429612525550714</v>
      </c>
      <c r="J27" s="318">
        <v>963</v>
      </c>
      <c r="K27" s="319"/>
      <c r="L27" s="319"/>
      <c r="M27" s="319"/>
      <c r="N27" s="319"/>
      <c r="O27" s="321">
        <v>677</v>
      </c>
      <c r="P27" s="322"/>
      <c r="Q27" s="323">
        <v>757</v>
      </c>
      <c r="R27" s="318"/>
      <c r="S27" s="319"/>
      <c r="T27" s="321"/>
      <c r="U27" s="365"/>
      <c r="V27" s="322"/>
      <c r="W27" s="323"/>
      <c r="X27" s="318"/>
      <c r="Y27" s="319"/>
      <c r="Z27" s="319"/>
      <c r="AA27" s="319"/>
      <c r="AB27" s="322">
        <v>384</v>
      </c>
    </row>
    <row r="28" spans="1:28" s="6" customFormat="1" ht="13.5" thickBot="1">
      <c r="A28" s="1"/>
      <c r="B28" s="1272"/>
      <c r="C28" s="1273"/>
      <c r="D28" s="1276"/>
      <c r="E28" s="1264"/>
      <c r="F28" s="1261"/>
      <c r="G28" s="1264"/>
      <c r="H28" s="1267"/>
      <c r="I28" s="1240"/>
      <c r="J28" s="332">
        <v>994</v>
      </c>
      <c r="K28" s="339"/>
      <c r="L28" s="339"/>
      <c r="M28" s="339"/>
      <c r="N28" s="339"/>
      <c r="O28" s="335"/>
      <c r="P28" s="336"/>
      <c r="Q28" s="337"/>
      <c r="R28" s="332"/>
      <c r="S28" s="339"/>
      <c r="T28" s="335"/>
      <c r="U28" s="392"/>
      <c r="V28" s="336"/>
      <c r="W28" s="337"/>
      <c r="X28" s="332"/>
      <c r="Y28" s="339"/>
      <c r="Z28" s="339"/>
      <c r="AA28" s="339"/>
      <c r="AB28" s="336"/>
    </row>
    <row r="29" spans="2:28" s="1" customFormat="1" ht="12.75">
      <c r="B29" s="1289" t="s">
        <v>148</v>
      </c>
      <c r="C29" s="1290"/>
      <c r="D29" s="1291">
        <v>35</v>
      </c>
      <c r="E29" s="1310">
        <f>D29/$D$72</f>
        <v>0.04581151832460733</v>
      </c>
      <c r="F29" s="1259">
        <v>9</v>
      </c>
      <c r="G29" s="1262">
        <f>F29/D29</f>
        <v>0.2571428571428571</v>
      </c>
      <c r="H29" s="1265">
        <f>SUM(3*J5)+(1*K5)+(1*L5)+(1*Q5)+(1*S5)+(1*U5)+(1*W5)</f>
        <v>2681.5499999999997</v>
      </c>
      <c r="I29" s="1238">
        <f>H29/H72</f>
        <v>0.04788364998927704</v>
      </c>
      <c r="J29" s="318">
        <v>321</v>
      </c>
      <c r="K29" s="319">
        <v>747</v>
      </c>
      <c r="L29" s="319">
        <v>761</v>
      </c>
      <c r="M29" s="319"/>
      <c r="N29" s="319"/>
      <c r="O29" s="321"/>
      <c r="P29" s="322"/>
      <c r="Q29" s="323">
        <v>649</v>
      </c>
      <c r="R29" s="318"/>
      <c r="S29" s="319">
        <v>439</v>
      </c>
      <c r="T29" s="322"/>
      <c r="U29" s="318">
        <v>993</v>
      </c>
      <c r="V29" s="321"/>
      <c r="W29" s="323">
        <v>31</v>
      </c>
      <c r="X29" s="318"/>
      <c r="Y29" s="319"/>
      <c r="Z29" s="319"/>
      <c r="AA29" s="319"/>
      <c r="AB29" s="322"/>
    </row>
    <row r="30" spans="2:28" s="1" customFormat="1" ht="12.75">
      <c r="B30" s="1247"/>
      <c r="C30" s="1248"/>
      <c r="D30" s="1253"/>
      <c r="E30" s="1256"/>
      <c r="F30" s="1260"/>
      <c r="G30" s="1263"/>
      <c r="H30" s="1266"/>
      <c r="I30" s="1239"/>
      <c r="J30" s="349">
        <v>256</v>
      </c>
      <c r="K30" s="350"/>
      <c r="L30" s="350"/>
      <c r="M30" s="350"/>
      <c r="N30" s="350"/>
      <c r="O30" s="351"/>
      <c r="P30" s="352"/>
      <c r="Q30" s="353"/>
      <c r="R30" s="349"/>
      <c r="S30" s="350"/>
      <c r="T30" s="352"/>
      <c r="U30" s="349"/>
      <c r="V30" s="351"/>
      <c r="W30" s="353"/>
      <c r="X30" s="349"/>
      <c r="Y30" s="350"/>
      <c r="Z30" s="350"/>
      <c r="AA30" s="350"/>
      <c r="AB30" s="352"/>
    </row>
    <row r="31" spans="2:28" s="1" customFormat="1" ht="13.5" thickBot="1">
      <c r="B31" s="1249"/>
      <c r="C31" s="1250"/>
      <c r="D31" s="1254"/>
      <c r="E31" s="1257"/>
      <c r="F31" s="1261"/>
      <c r="G31" s="1264"/>
      <c r="H31" s="1267"/>
      <c r="I31" s="1240"/>
      <c r="J31" s="354">
        <v>31</v>
      </c>
      <c r="K31" s="362"/>
      <c r="L31" s="362"/>
      <c r="M31" s="362"/>
      <c r="N31" s="362"/>
      <c r="O31" s="356"/>
      <c r="P31" s="357"/>
      <c r="Q31" s="358"/>
      <c r="R31" s="354"/>
      <c r="S31" s="362"/>
      <c r="T31" s="357"/>
      <c r="U31" s="354"/>
      <c r="V31" s="356"/>
      <c r="W31" s="358"/>
      <c r="X31" s="354"/>
      <c r="Y31" s="362"/>
      <c r="Z31" s="362"/>
      <c r="AA31" s="362"/>
      <c r="AB31" s="357"/>
    </row>
    <row r="32" spans="2:28" s="1" customFormat="1" ht="12.75">
      <c r="B32" s="1268" t="s">
        <v>149</v>
      </c>
      <c r="C32" s="1269"/>
      <c r="D32" s="1274">
        <v>10</v>
      </c>
      <c r="E32" s="1262">
        <f>D32/$D$72</f>
        <v>0.013089005235602094</v>
      </c>
      <c r="F32" s="1259">
        <v>4</v>
      </c>
      <c r="G32" s="1262">
        <f>F32/D32</f>
        <v>0.4</v>
      </c>
      <c r="H32" s="1265">
        <f>SUM(1*J5)+(1*M5)+(1*R5)+(2*Y5)</f>
        <v>1027.88</v>
      </c>
      <c r="I32" s="1238">
        <f>H32/H72</f>
        <v>0.018354550969020937</v>
      </c>
      <c r="J32" s="318">
        <v>625</v>
      </c>
      <c r="K32" s="319"/>
      <c r="L32" s="319"/>
      <c r="M32" s="319">
        <v>81</v>
      </c>
      <c r="N32" s="319"/>
      <c r="O32" s="321">
        <v>809</v>
      </c>
      <c r="P32" s="322"/>
      <c r="Q32" s="323"/>
      <c r="R32" s="318">
        <v>648</v>
      </c>
      <c r="S32" s="319"/>
      <c r="T32" s="322"/>
      <c r="U32" s="318"/>
      <c r="V32" s="321"/>
      <c r="W32" s="323"/>
      <c r="X32" s="318"/>
      <c r="Y32" s="319">
        <v>648</v>
      </c>
      <c r="Z32" s="319"/>
      <c r="AA32" s="319"/>
      <c r="AB32" s="322"/>
    </row>
    <row r="33" spans="2:28" s="1" customFormat="1" ht="12.75">
      <c r="B33" s="1270"/>
      <c r="C33" s="1271"/>
      <c r="D33" s="1275"/>
      <c r="E33" s="1263"/>
      <c r="F33" s="1260"/>
      <c r="G33" s="1263"/>
      <c r="H33" s="1266"/>
      <c r="I33" s="1239"/>
      <c r="J33" s="325"/>
      <c r="K33" s="326"/>
      <c r="L33" s="326"/>
      <c r="M33" s="326"/>
      <c r="N33" s="326"/>
      <c r="O33" s="328"/>
      <c r="P33" s="329"/>
      <c r="Q33" s="330"/>
      <c r="R33" s="325"/>
      <c r="S33" s="326"/>
      <c r="T33" s="329"/>
      <c r="U33" s="325"/>
      <c r="V33" s="328"/>
      <c r="W33" s="330"/>
      <c r="X33" s="325"/>
      <c r="Y33" s="326">
        <v>809</v>
      </c>
      <c r="Z33" s="326"/>
      <c r="AA33" s="326"/>
      <c r="AB33" s="329"/>
    </row>
    <row r="34" spans="2:28" s="1" customFormat="1" ht="13.5" thickBot="1">
      <c r="B34" s="1272"/>
      <c r="C34" s="1273"/>
      <c r="D34" s="1276"/>
      <c r="E34" s="1264"/>
      <c r="F34" s="1261"/>
      <c r="G34" s="1264"/>
      <c r="H34" s="1267"/>
      <c r="I34" s="1240"/>
      <c r="J34" s="332"/>
      <c r="K34" s="333"/>
      <c r="L34" s="339"/>
      <c r="M34" s="339"/>
      <c r="N34" s="339"/>
      <c r="O34" s="335"/>
      <c r="P34" s="336"/>
      <c r="Q34" s="337"/>
      <c r="R34" s="332"/>
      <c r="S34" s="339"/>
      <c r="T34" s="336"/>
      <c r="U34" s="332"/>
      <c r="V34" s="335"/>
      <c r="W34" s="337"/>
      <c r="X34" s="332"/>
      <c r="Y34" s="339">
        <v>81</v>
      </c>
      <c r="Z34" s="339"/>
      <c r="AA34" s="339"/>
      <c r="AB34" s="336"/>
    </row>
    <row r="35" spans="2:28" s="1" customFormat="1" ht="12.75">
      <c r="B35" s="1292" t="s">
        <v>150</v>
      </c>
      <c r="C35" s="1293"/>
      <c r="D35" s="1298">
        <v>38</v>
      </c>
      <c r="E35" s="1301">
        <f>D35/$D$72</f>
        <v>0.049738219895287955</v>
      </c>
      <c r="F35" s="1304">
        <v>13</v>
      </c>
      <c r="G35" s="1307">
        <f>F35/D35</f>
        <v>0.34210526315789475</v>
      </c>
      <c r="H35" s="1283">
        <f>SUM(2*J5)+(1*K5)+(4*L5)+(1*R5)+(2*Y5)+(1*AA5)+(2*P5)</f>
        <v>3126.82</v>
      </c>
      <c r="I35" s="1286">
        <f>H35/H72</f>
        <v>0.05583470547238398</v>
      </c>
      <c r="J35" s="318">
        <v>786</v>
      </c>
      <c r="K35" s="319">
        <v>802</v>
      </c>
      <c r="L35" s="319">
        <v>970</v>
      </c>
      <c r="M35" s="319"/>
      <c r="N35" s="319"/>
      <c r="O35" s="321"/>
      <c r="P35" s="322"/>
      <c r="Q35" s="323"/>
      <c r="R35" s="318">
        <v>210</v>
      </c>
      <c r="S35" s="319"/>
      <c r="T35" s="322"/>
      <c r="U35" s="318"/>
      <c r="V35" s="321"/>
      <c r="W35" s="323"/>
      <c r="X35" s="318"/>
      <c r="Y35" s="319">
        <v>782</v>
      </c>
      <c r="Z35" s="319"/>
      <c r="AA35" s="319">
        <v>137</v>
      </c>
      <c r="AB35" s="322"/>
    </row>
    <row r="36" spans="2:28" s="1" customFormat="1" ht="12.75">
      <c r="B36" s="1294"/>
      <c r="C36" s="1295"/>
      <c r="D36" s="1299"/>
      <c r="E36" s="1302"/>
      <c r="F36" s="1305"/>
      <c r="G36" s="1308"/>
      <c r="H36" s="1284"/>
      <c r="I36" s="1287"/>
      <c r="J36" s="354">
        <v>811</v>
      </c>
      <c r="K36" s="362"/>
      <c r="L36" s="362">
        <v>861</v>
      </c>
      <c r="M36" s="362"/>
      <c r="N36" s="362"/>
      <c r="O36" s="356"/>
      <c r="P36" s="386">
        <v>141</v>
      </c>
      <c r="Q36" s="358"/>
      <c r="R36" s="387"/>
      <c r="S36" s="362"/>
      <c r="T36" s="357"/>
      <c r="U36" s="354"/>
      <c r="V36" s="356"/>
      <c r="W36" s="358"/>
      <c r="X36" s="354"/>
      <c r="Y36" s="362">
        <v>483</v>
      </c>
      <c r="Z36" s="362"/>
      <c r="AA36" s="362"/>
      <c r="AB36" s="357"/>
    </row>
    <row r="37" spans="2:28" s="1" customFormat="1" ht="12.75">
      <c r="B37" s="1294"/>
      <c r="C37" s="1295"/>
      <c r="D37" s="1299"/>
      <c r="E37" s="1302"/>
      <c r="F37" s="1305"/>
      <c r="G37" s="1308"/>
      <c r="H37" s="1284"/>
      <c r="I37" s="1287"/>
      <c r="J37" s="354"/>
      <c r="K37" s="362"/>
      <c r="L37" s="362">
        <v>40</v>
      </c>
      <c r="M37" s="362"/>
      <c r="N37" s="362"/>
      <c r="O37" s="356"/>
      <c r="P37" s="386">
        <v>259</v>
      </c>
      <c r="Q37" s="358"/>
      <c r="R37" s="387"/>
      <c r="S37" s="362"/>
      <c r="T37" s="357"/>
      <c r="U37" s="354"/>
      <c r="V37" s="356"/>
      <c r="W37" s="358"/>
      <c r="X37" s="354"/>
      <c r="Y37" s="362"/>
      <c r="Z37" s="362"/>
      <c r="AA37" s="362"/>
      <c r="AB37" s="357"/>
    </row>
    <row r="38" spans="2:28" s="1" customFormat="1" ht="13.5" thickBot="1">
      <c r="B38" s="1296"/>
      <c r="C38" s="1297"/>
      <c r="D38" s="1300"/>
      <c r="E38" s="1303"/>
      <c r="F38" s="1306"/>
      <c r="G38" s="1309"/>
      <c r="H38" s="1285"/>
      <c r="I38" s="1288"/>
      <c r="J38" s="354"/>
      <c r="K38" s="362"/>
      <c r="L38" s="362">
        <v>477</v>
      </c>
      <c r="M38" s="362"/>
      <c r="N38" s="362"/>
      <c r="O38" s="356"/>
      <c r="P38" s="357"/>
      <c r="Q38" s="358"/>
      <c r="R38" s="354"/>
      <c r="S38" s="362"/>
      <c r="T38" s="357"/>
      <c r="U38" s="354"/>
      <c r="V38" s="356"/>
      <c r="W38" s="358"/>
      <c r="X38" s="354"/>
      <c r="Y38" s="362"/>
      <c r="Z38" s="362"/>
      <c r="AA38" s="362"/>
      <c r="AB38" s="357"/>
    </row>
    <row r="39" spans="2:28" s="1" customFormat="1" ht="12.75">
      <c r="B39" s="1247" t="s">
        <v>151</v>
      </c>
      <c r="C39" s="1248"/>
      <c r="D39" s="1253">
        <v>44</v>
      </c>
      <c r="E39" s="1256">
        <f>D39/$D$72</f>
        <v>0.05759162303664921</v>
      </c>
      <c r="F39" s="1259">
        <v>15</v>
      </c>
      <c r="G39" s="1262">
        <f>F39/D39</f>
        <v>0.3409090909090909</v>
      </c>
      <c r="H39" s="1265">
        <f>SUM(1*K5)+(2*L5)+(1*M5)+(1*N5)+(1*P5)+(1*S5)+(2*T5)+(1*V5)+(2*X5)+(2*Y5)+(1*AB5)</f>
        <v>2897.7999999999997</v>
      </c>
      <c r="I39" s="1238">
        <f>H39/H72</f>
        <v>0.051745162662984845</v>
      </c>
      <c r="J39" s="318"/>
      <c r="K39" s="319">
        <v>282</v>
      </c>
      <c r="L39" s="319">
        <v>209</v>
      </c>
      <c r="M39" s="319">
        <v>195</v>
      </c>
      <c r="N39" s="319">
        <v>97</v>
      </c>
      <c r="O39" s="321"/>
      <c r="P39" s="383">
        <v>33</v>
      </c>
      <c r="Q39" s="323"/>
      <c r="R39" s="384"/>
      <c r="S39" s="319">
        <v>86</v>
      </c>
      <c r="T39" s="322">
        <v>465</v>
      </c>
      <c r="U39" s="318"/>
      <c r="V39" s="321">
        <v>451</v>
      </c>
      <c r="W39" s="323"/>
      <c r="X39" s="318">
        <v>134</v>
      </c>
      <c r="Y39" s="319">
        <v>112</v>
      </c>
      <c r="Z39" s="319"/>
      <c r="AA39" s="319"/>
      <c r="AB39" s="322">
        <v>565</v>
      </c>
    </row>
    <row r="40" spans="1:28" s="6" customFormat="1" ht="13.5" thickBot="1">
      <c r="A40" s="1"/>
      <c r="B40" s="1249"/>
      <c r="C40" s="1250"/>
      <c r="D40" s="1254"/>
      <c r="E40" s="1257"/>
      <c r="F40" s="1261"/>
      <c r="G40" s="1264"/>
      <c r="H40" s="1267"/>
      <c r="I40" s="1240"/>
      <c r="J40" s="354"/>
      <c r="K40" s="362"/>
      <c r="L40" s="362">
        <v>229</v>
      </c>
      <c r="M40" s="362"/>
      <c r="N40" s="362"/>
      <c r="O40" s="356"/>
      <c r="P40" s="357"/>
      <c r="Q40" s="358"/>
      <c r="R40" s="354"/>
      <c r="S40" s="362"/>
      <c r="T40" s="357">
        <v>808</v>
      </c>
      <c r="U40" s="354"/>
      <c r="V40" s="356"/>
      <c r="W40" s="358"/>
      <c r="X40" s="354">
        <v>574</v>
      </c>
      <c r="Y40" s="362">
        <v>798</v>
      </c>
      <c r="Z40" s="362"/>
      <c r="AA40" s="362"/>
      <c r="AB40" s="357"/>
    </row>
    <row r="41" spans="2:28" s="1" customFormat="1" ht="13.5" thickBot="1">
      <c r="B41" s="1277" t="s">
        <v>152</v>
      </c>
      <c r="C41" s="1278"/>
      <c r="D41" s="1279">
        <v>35</v>
      </c>
      <c r="E41" s="1280">
        <f>D41/$D$72</f>
        <v>0.04581151832460733</v>
      </c>
      <c r="F41" s="1259">
        <v>17</v>
      </c>
      <c r="G41" s="1262">
        <f>F41/D41</f>
        <v>0.4857142857142857</v>
      </c>
      <c r="H41" s="1265">
        <f>SUM(5*L5)+(9*W5)+(2*J5)+(1*O5)</f>
        <v>2542.8799999999997</v>
      </c>
      <c r="I41" s="1238">
        <f>H41/H72</f>
        <v>0.04540746056748254</v>
      </c>
      <c r="J41" s="318">
        <v>718</v>
      </c>
      <c r="K41" s="319"/>
      <c r="L41" s="319">
        <v>19</v>
      </c>
      <c r="M41" s="319"/>
      <c r="N41" s="319"/>
      <c r="O41" s="321">
        <v>743</v>
      </c>
      <c r="P41" s="322"/>
      <c r="Q41" s="323"/>
      <c r="R41" s="318"/>
      <c r="S41" s="319"/>
      <c r="T41" s="322"/>
      <c r="U41" s="318"/>
      <c r="V41" s="321"/>
      <c r="W41" s="323">
        <v>629</v>
      </c>
      <c r="X41" s="318"/>
      <c r="Y41" s="319"/>
      <c r="Z41" s="319"/>
      <c r="AA41" s="319"/>
      <c r="AB41" s="322"/>
    </row>
    <row r="42" spans="2:28" s="1" customFormat="1" ht="13.5" thickBot="1">
      <c r="B42" s="1277"/>
      <c r="C42" s="1278"/>
      <c r="D42" s="1279"/>
      <c r="E42" s="1280"/>
      <c r="F42" s="1260"/>
      <c r="G42" s="1263"/>
      <c r="H42" s="1266"/>
      <c r="I42" s="1239"/>
      <c r="J42" s="354">
        <v>10</v>
      </c>
      <c r="K42" s="362"/>
      <c r="L42" s="362">
        <v>463</v>
      </c>
      <c r="M42" s="362"/>
      <c r="N42" s="362"/>
      <c r="O42" s="356"/>
      <c r="P42" s="357"/>
      <c r="Q42" s="358"/>
      <c r="R42" s="354"/>
      <c r="S42" s="362"/>
      <c r="T42" s="357"/>
      <c r="U42" s="354"/>
      <c r="V42" s="356"/>
      <c r="W42" s="358">
        <v>707</v>
      </c>
      <c r="X42" s="354"/>
      <c r="Y42" s="362"/>
      <c r="Z42" s="362"/>
      <c r="AA42" s="362"/>
      <c r="AB42" s="357"/>
    </row>
    <row r="43" spans="2:28" s="1" customFormat="1" ht="13.5" thickBot="1">
      <c r="B43" s="1277"/>
      <c r="C43" s="1278"/>
      <c r="D43" s="1279"/>
      <c r="E43" s="1280"/>
      <c r="F43" s="1260"/>
      <c r="G43" s="1263"/>
      <c r="H43" s="1266"/>
      <c r="I43" s="1239"/>
      <c r="J43" s="377"/>
      <c r="K43" s="379"/>
      <c r="L43" s="379">
        <v>157</v>
      </c>
      <c r="M43" s="379"/>
      <c r="N43" s="379"/>
      <c r="O43" s="380"/>
      <c r="P43" s="381"/>
      <c r="Q43" s="382"/>
      <c r="R43" s="377"/>
      <c r="S43" s="379"/>
      <c r="T43" s="381"/>
      <c r="U43" s="377"/>
      <c r="V43" s="380"/>
      <c r="W43" s="382">
        <v>806</v>
      </c>
      <c r="X43" s="377"/>
      <c r="Y43" s="379"/>
      <c r="Z43" s="379"/>
      <c r="AA43" s="379"/>
      <c r="AB43" s="381"/>
    </row>
    <row r="44" spans="2:28" s="1" customFormat="1" ht="13.5" thickBot="1">
      <c r="B44" s="1277"/>
      <c r="C44" s="1278"/>
      <c r="D44" s="1279"/>
      <c r="E44" s="1280"/>
      <c r="F44" s="1260"/>
      <c r="G44" s="1263"/>
      <c r="H44" s="1266"/>
      <c r="I44" s="1239"/>
      <c r="J44" s="377"/>
      <c r="K44" s="379"/>
      <c r="L44" s="379">
        <v>278</v>
      </c>
      <c r="M44" s="379"/>
      <c r="N44" s="379"/>
      <c r="O44" s="380"/>
      <c r="P44" s="381"/>
      <c r="Q44" s="382"/>
      <c r="R44" s="377"/>
      <c r="S44" s="379"/>
      <c r="T44" s="381"/>
      <c r="U44" s="377"/>
      <c r="V44" s="380"/>
      <c r="W44" s="382">
        <v>383</v>
      </c>
      <c r="X44" s="377"/>
      <c r="Y44" s="379"/>
      <c r="Z44" s="379"/>
      <c r="AA44" s="379"/>
      <c r="AB44" s="381"/>
    </row>
    <row r="45" spans="2:28" s="1" customFormat="1" ht="13.5" thickBot="1">
      <c r="B45" s="1277"/>
      <c r="C45" s="1278"/>
      <c r="D45" s="1279"/>
      <c r="E45" s="1280"/>
      <c r="F45" s="1260"/>
      <c r="G45" s="1263"/>
      <c r="H45" s="1266"/>
      <c r="I45" s="1239"/>
      <c r="J45" s="377"/>
      <c r="K45" s="379"/>
      <c r="L45" s="379">
        <v>494</v>
      </c>
      <c r="M45" s="379"/>
      <c r="N45" s="379"/>
      <c r="O45" s="380"/>
      <c r="P45" s="381"/>
      <c r="Q45" s="382"/>
      <c r="R45" s="377"/>
      <c r="S45" s="379"/>
      <c r="T45" s="381"/>
      <c r="U45" s="377"/>
      <c r="V45" s="380"/>
      <c r="W45" s="382">
        <v>160</v>
      </c>
      <c r="X45" s="377"/>
      <c r="Y45" s="379"/>
      <c r="Z45" s="379"/>
      <c r="AA45" s="379"/>
      <c r="AB45" s="381"/>
    </row>
    <row r="46" spans="2:28" s="1" customFormat="1" ht="13.5" thickBot="1">
      <c r="B46" s="1277"/>
      <c r="C46" s="1278"/>
      <c r="D46" s="1279"/>
      <c r="E46" s="1280"/>
      <c r="F46" s="1260"/>
      <c r="G46" s="1263"/>
      <c r="H46" s="1266"/>
      <c r="I46" s="1239"/>
      <c r="J46" s="377"/>
      <c r="K46" s="379"/>
      <c r="L46" s="379"/>
      <c r="M46" s="379"/>
      <c r="N46" s="379"/>
      <c r="O46" s="380"/>
      <c r="P46" s="381"/>
      <c r="Q46" s="382"/>
      <c r="R46" s="377"/>
      <c r="S46" s="379"/>
      <c r="T46" s="381"/>
      <c r="U46" s="377"/>
      <c r="V46" s="380"/>
      <c r="W46" s="382">
        <v>254</v>
      </c>
      <c r="X46" s="377"/>
      <c r="Y46" s="379"/>
      <c r="Z46" s="379"/>
      <c r="AA46" s="379"/>
      <c r="AB46" s="381"/>
    </row>
    <row r="47" spans="2:28" s="1" customFormat="1" ht="13.5" thickBot="1">
      <c r="B47" s="1277"/>
      <c r="C47" s="1278"/>
      <c r="D47" s="1279"/>
      <c r="E47" s="1280"/>
      <c r="F47" s="1260"/>
      <c r="G47" s="1263"/>
      <c r="H47" s="1266"/>
      <c r="I47" s="1239"/>
      <c r="J47" s="377"/>
      <c r="K47" s="379"/>
      <c r="L47" s="379"/>
      <c r="M47" s="379"/>
      <c r="N47" s="379"/>
      <c r="O47" s="380"/>
      <c r="P47" s="381"/>
      <c r="Q47" s="382"/>
      <c r="R47" s="377"/>
      <c r="S47" s="379"/>
      <c r="T47" s="381"/>
      <c r="U47" s="377"/>
      <c r="V47" s="380"/>
      <c r="W47" s="382">
        <v>318</v>
      </c>
      <c r="X47" s="377"/>
      <c r="Y47" s="379"/>
      <c r="Z47" s="379"/>
      <c r="AA47" s="379"/>
      <c r="AB47" s="381"/>
    </row>
    <row r="48" spans="2:28" s="1" customFormat="1" ht="13.5" thickBot="1">
      <c r="B48" s="1277"/>
      <c r="C48" s="1278"/>
      <c r="D48" s="1279"/>
      <c r="E48" s="1280"/>
      <c r="F48" s="1260"/>
      <c r="G48" s="1263"/>
      <c r="H48" s="1266"/>
      <c r="I48" s="1239"/>
      <c r="J48" s="377"/>
      <c r="K48" s="379"/>
      <c r="L48" s="379"/>
      <c r="M48" s="379"/>
      <c r="N48" s="379"/>
      <c r="O48" s="380"/>
      <c r="P48" s="381"/>
      <c r="Q48" s="382"/>
      <c r="R48" s="377"/>
      <c r="S48" s="379"/>
      <c r="T48" s="381"/>
      <c r="U48" s="377"/>
      <c r="V48" s="380"/>
      <c r="W48" s="382">
        <v>450</v>
      </c>
      <c r="X48" s="377"/>
      <c r="Y48" s="379"/>
      <c r="Z48" s="379"/>
      <c r="AA48" s="379"/>
      <c r="AB48" s="381"/>
    </row>
    <row r="49" spans="2:28" s="1" customFormat="1" ht="13.5" thickBot="1">
      <c r="B49" s="1277"/>
      <c r="C49" s="1278"/>
      <c r="D49" s="1279"/>
      <c r="E49" s="1280"/>
      <c r="F49" s="1260"/>
      <c r="G49" s="1263"/>
      <c r="H49" s="1266"/>
      <c r="I49" s="1239"/>
      <c r="J49" s="377"/>
      <c r="K49" s="379"/>
      <c r="L49" s="379"/>
      <c r="M49" s="379"/>
      <c r="N49" s="379"/>
      <c r="O49" s="380"/>
      <c r="P49" s="381"/>
      <c r="Q49" s="382"/>
      <c r="R49" s="377"/>
      <c r="S49" s="379"/>
      <c r="T49" s="381"/>
      <c r="U49" s="377"/>
      <c r="V49" s="380"/>
      <c r="W49" s="382">
        <v>517</v>
      </c>
      <c r="X49" s="377"/>
      <c r="Y49" s="379"/>
      <c r="Z49" s="379"/>
      <c r="AA49" s="379"/>
      <c r="AB49" s="381"/>
    </row>
    <row r="50" spans="2:28" s="1" customFormat="1" ht="13.5" thickBot="1">
      <c r="B50" s="1281" t="s">
        <v>153</v>
      </c>
      <c r="C50" s="1282"/>
      <c r="D50" s="1279">
        <v>17</v>
      </c>
      <c r="E50" s="1280">
        <f>D50/$D$72</f>
        <v>0.02225130890052356</v>
      </c>
      <c r="F50" s="1259">
        <v>5</v>
      </c>
      <c r="G50" s="1262">
        <f>F50/D50</f>
        <v>0.29411764705882354</v>
      </c>
      <c r="H50" s="1265">
        <f>SUM(1*J5)+(1*K5)+(1*L5)+(1*S5)+(1*V5)</f>
        <v>1097.81</v>
      </c>
      <c r="I50" s="1238">
        <f>H50/H72</f>
        <v>0.01960327041999151</v>
      </c>
      <c r="J50" s="318">
        <v>147</v>
      </c>
      <c r="K50" s="319">
        <v>506</v>
      </c>
      <c r="L50" s="319">
        <v>25</v>
      </c>
      <c r="M50" s="319"/>
      <c r="N50" s="319"/>
      <c r="O50" s="321"/>
      <c r="P50" s="322"/>
      <c r="Q50" s="323"/>
      <c r="R50" s="318"/>
      <c r="S50" s="319">
        <v>967</v>
      </c>
      <c r="T50" s="322"/>
      <c r="U50" s="318"/>
      <c r="V50" s="321">
        <v>90</v>
      </c>
      <c r="W50" s="323"/>
      <c r="X50" s="318"/>
      <c r="Y50" s="319"/>
      <c r="Z50" s="319"/>
      <c r="AA50" s="319"/>
      <c r="AB50" s="322"/>
    </row>
    <row r="51" spans="1:28" s="6" customFormat="1" ht="13.5" thickBot="1">
      <c r="A51" s="1"/>
      <c r="B51" s="1281"/>
      <c r="C51" s="1282"/>
      <c r="D51" s="1279"/>
      <c r="E51" s="1280"/>
      <c r="F51" s="1261"/>
      <c r="G51" s="1264"/>
      <c r="H51" s="1267"/>
      <c r="I51" s="1240"/>
      <c r="J51" s="332"/>
      <c r="K51" s="333"/>
      <c r="L51" s="339"/>
      <c r="M51" s="339"/>
      <c r="N51" s="339"/>
      <c r="O51" s="335"/>
      <c r="P51" s="336"/>
      <c r="Q51" s="337"/>
      <c r="R51" s="332"/>
      <c r="S51" s="339"/>
      <c r="T51" s="336"/>
      <c r="U51" s="332"/>
      <c r="V51" s="335"/>
      <c r="W51" s="337"/>
      <c r="X51" s="332"/>
      <c r="Y51" s="339"/>
      <c r="Z51" s="339"/>
      <c r="AA51" s="339"/>
      <c r="AB51" s="336"/>
    </row>
    <row r="52" spans="2:28" s="1" customFormat="1" ht="13.5" thickBot="1">
      <c r="B52" s="1281" t="s">
        <v>154</v>
      </c>
      <c r="C52" s="1282"/>
      <c r="D52" s="1279">
        <v>21</v>
      </c>
      <c r="E52" s="1280">
        <f>D52/$D$72</f>
        <v>0.0274869109947644</v>
      </c>
      <c r="F52" s="1259">
        <v>5</v>
      </c>
      <c r="G52" s="1262">
        <f>F52/D52</f>
        <v>0.23809523809523808</v>
      </c>
      <c r="H52" s="1265">
        <f>SUM(2*J5)+(1*Q5)+(1*R5)+(1*U5)</f>
        <v>1850.6</v>
      </c>
      <c r="I52" s="1238">
        <f>H52/H72</f>
        <v>0.033045620133936006</v>
      </c>
      <c r="J52" s="318">
        <v>101</v>
      </c>
      <c r="K52" s="319"/>
      <c r="L52" s="319"/>
      <c r="M52" s="319"/>
      <c r="N52" s="319"/>
      <c r="O52" s="321"/>
      <c r="P52" s="322"/>
      <c r="Q52" s="323">
        <v>676</v>
      </c>
      <c r="R52" s="318">
        <v>233</v>
      </c>
      <c r="S52" s="319"/>
      <c r="T52" s="322"/>
      <c r="U52" s="318">
        <v>751</v>
      </c>
      <c r="V52" s="321"/>
      <c r="W52" s="323"/>
      <c r="X52" s="318"/>
      <c r="Y52" s="319"/>
      <c r="Z52" s="319"/>
      <c r="AA52" s="319"/>
      <c r="AB52" s="322"/>
    </row>
    <row r="53" spans="1:28" s="6" customFormat="1" ht="13.5" thickBot="1">
      <c r="A53" s="1"/>
      <c r="B53" s="1281"/>
      <c r="C53" s="1282"/>
      <c r="D53" s="1279"/>
      <c r="E53" s="1280"/>
      <c r="F53" s="1261"/>
      <c r="G53" s="1264"/>
      <c r="H53" s="1267"/>
      <c r="I53" s="1240"/>
      <c r="J53" s="332">
        <v>223</v>
      </c>
      <c r="K53" s="333"/>
      <c r="L53" s="339"/>
      <c r="M53" s="339"/>
      <c r="N53" s="339"/>
      <c r="O53" s="335"/>
      <c r="P53" s="336"/>
      <c r="Q53" s="337"/>
      <c r="R53" s="332"/>
      <c r="S53" s="339"/>
      <c r="T53" s="336"/>
      <c r="U53" s="332"/>
      <c r="V53" s="335"/>
      <c r="W53" s="337"/>
      <c r="X53" s="332"/>
      <c r="Y53" s="339"/>
      <c r="Z53" s="339"/>
      <c r="AA53" s="339"/>
      <c r="AB53" s="336"/>
    </row>
    <row r="54" spans="2:28" s="1" customFormat="1" ht="13.5" thickBot="1">
      <c r="B54" s="1277" t="s">
        <v>155</v>
      </c>
      <c r="C54" s="1278"/>
      <c r="D54" s="1279">
        <v>30</v>
      </c>
      <c r="E54" s="1280">
        <f>D54/$D$72</f>
        <v>0.03926701570680628</v>
      </c>
      <c r="F54" s="1259">
        <v>12</v>
      </c>
      <c r="G54" s="1262">
        <f>F54/D54</f>
        <v>0.4</v>
      </c>
      <c r="H54" s="1265">
        <f>SUM(3*J5)+(3*K5)+(1*L5)+(3*O5)+(1*V5)+(1*W5)</f>
        <v>2506.66</v>
      </c>
      <c r="I54" s="1238">
        <f>H54/H72</f>
        <v>0.044760690675960245</v>
      </c>
      <c r="J54" s="318">
        <v>94</v>
      </c>
      <c r="K54" s="319">
        <v>785</v>
      </c>
      <c r="L54" s="319">
        <v>200</v>
      </c>
      <c r="M54" s="319"/>
      <c r="N54" s="319"/>
      <c r="O54" s="321">
        <v>425</v>
      </c>
      <c r="P54" s="322"/>
      <c r="Q54" s="323"/>
      <c r="R54" s="318"/>
      <c r="S54" s="319"/>
      <c r="T54" s="322"/>
      <c r="U54" s="318"/>
      <c r="V54" s="321">
        <v>211</v>
      </c>
      <c r="W54" s="323">
        <v>986</v>
      </c>
      <c r="X54" s="318"/>
      <c r="Y54" s="319"/>
      <c r="Z54" s="319"/>
      <c r="AA54" s="319"/>
      <c r="AB54" s="322"/>
    </row>
    <row r="55" spans="2:28" s="1" customFormat="1" ht="13.5" thickBot="1">
      <c r="B55" s="1277"/>
      <c r="C55" s="1278"/>
      <c r="D55" s="1279"/>
      <c r="E55" s="1280"/>
      <c r="F55" s="1260"/>
      <c r="G55" s="1263"/>
      <c r="H55" s="1266"/>
      <c r="I55" s="1239"/>
      <c r="J55" s="325">
        <v>360</v>
      </c>
      <c r="K55" s="326">
        <v>689</v>
      </c>
      <c r="L55" s="326"/>
      <c r="M55" s="326"/>
      <c r="N55" s="326"/>
      <c r="O55" s="328">
        <v>700</v>
      </c>
      <c r="P55" s="329"/>
      <c r="Q55" s="330"/>
      <c r="R55" s="325"/>
      <c r="S55" s="326"/>
      <c r="T55" s="329"/>
      <c r="U55" s="325"/>
      <c r="V55" s="328"/>
      <c r="W55" s="330"/>
      <c r="X55" s="325"/>
      <c r="Y55" s="326"/>
      <c r="Z55" s="326"/>
      <c r="AA55" s="326"/>
      <c r="AB55" s="329"/>
    </row>
    <row r="56" spans="2:28" s="1" customFormat="1" ht="13.5" thickBot="1">
      <c r="B56" s="1277"/>
      <c r="C56" s="1278"/>
      <c r="D56" s="1279"/>
      <c r="E56" s="1280"/>
      <c r="F56" s="1261"/>
      <c r="G56" s="1264"/>
      <c r="H56" s="1267"/>
      <c r="I56" s="1240"/>
      <c r="J56" s="332">
        <v>820</v>
      </c>
      <c r="K56" s="333">
        <v>179</v>
      </c>
      <c r="L56" s="339"/>
      <c r="M56" s="339"/>
      <c r="N56" s="339"/>
      <c r="O56" s="335">
        <v>262</v>
      </c>
      <c r="P56" s="336"/>
      <c r="Q56" s="337"/>
      <c r="R56" s="332"/>
      <c r="S56" s="339"/>
      <c r="T56" s="336"/>
      <c r="U56" s="332"/>
      <c r="V56" s="335"/>
      <c r="W56" s="337"/>
      <c r="X56" s="332"/>
      <c r="Y56" s="339"/>
      <c r="Z56" s="339"/>
      <c r="AA56" s="339"/>
      <c r="AB56" s="336"/>
    </row>
    <row r="57" spans="2:29" s="1" customFormat="1" ht="13.5" thickBot="1">
      <c r="B57" s="1277" t="s">
        <v>156</v>
      </c>
      <c r="C57" s="1278"/>
      <c r="D57" s="1279">
        <v>24</v>
      </c>
      <c r="E57" s="1280">
        <f>D57/$D$72</f>
        <v>0.031413612565445025</v>
      </c>
      <c r="F57" s="1259">
        <v>8</v>
      </c>
      <c r="G57" s="1262">
        <f>F57/D57</f>
        <v>0.3333333333333333</v>
      </c>
      <c r="H57" s="1265">
        <f>SUM(1*J5)+(2*L5)+(2*U5)+(1*X5)+(1*Q5)+(1*W5)</f>
        <v>2187.7</v>
      </c>
      <c r="I57" s="1238">
        <f>H57/H72</f>
        <v>0.03906511572841878</v>
      </c>
      <c r="J57" s="318">
        <v>961</v>
      </c>
      <c r="K57" s="319"/>
      <c r="L57" s="319">
        <v>91</v>
      </c>
      <c r="M57" s="319"/>
      <c r="N57" s="319"/>
      <c r="O57" s="321"/>
      <c r="P57" s="322"/>
      <c r="Q57" s="323">
        <v>772</v>
      </c>
      <c r="R57" s="318"/>
      <c r="S57" s="319"/>
      <c r="T57" s="322"/>
      <c r="U57" s="318">
        <v>348</v>
      </c>
      <c r="V57" s="321"/>
      <c r="W57" s="323">
        <v>30</v>
      </c>
      <c r="X57" s="318">
        <v>421</v>
      </c>
      <c r="Y57" s="319"/>
      <c r="Z57" s="319"/>
      <c r="AA57" s="319"/>
      <c r="AB57" s="322"/>
      <c r="AC57" s="393"/>
    </row>
    <row r="58" spans="2:29" s="1" customFormat="1" ht="13.5" thickBot="1">
      <c r="B58" s="1277"/>
      <c r="C58" s="1278"/>
      <c r="D58" s="1279"/>
      <c r="E58" s="1280"/>
      <c r="F58" s="1260"/>
      <c r="G58" s="1263"/>
      <c r="H58" s="1266"/>
      <c r="I58" s="1239"/>
      <c r="J58" s="349"/>
      <c r="K58" s="350"/>
      <c r="L58" s="350">
        <v>26</v>
      </c>
      <c r="M58" s="350"/>
      <c r="N58" s="350"/>
      <c r="O58" s="351"/>
      <c r="P58" s="352"/>
      <c r="Q58" s="353"/>
      <c r="R58" s="349"/>
      <c r="S58" s="350"/>
      <c r="T58" s="352"/>
      <c r="U58" s="349">
        <v>470</v>
      </c>
      <c r="V58" s="351"/>
      <c r="W58" s="353"/>
      <c r="X58" s="349"/>
      <c r="Y58" s="350"/>
      <c r="Z58" s="350"/>
      <c r="AA58" s="350"/>
      <c r="AB58" s="352"/>
      <c r="AC58" s="393"/>
    </row>
    <row r="59" spans="2:28" s="1" customFormat="1" ht="12.75">
      <c r="B59" s="1268" t="s">
        <v>157</v>
      </c>
      <c r="C59" s="1269"/>
      <c r="D59" s="1274">
        <v>33</v>
      </c>
      <c r="E59" s="1262">
        <f>D59/$D$72</f>
        <v>0.04319371727748691</v>
      </c>
      <c r="F59" s="1259">
        <v>7</v>
      </c>
      <c r="G59" s="1262">
        <f>F59/D59</f>
        <v>0.21212121212121213</v>
      </c>
      <c r="H59" s="1265">
        <f>SUM(1*J5)+(1*L5)+(2*Q5)+(1*X5)+(2*Y5)</f>
        <v>2800.67</v>
      </c>
      <c r="I59" s="1238">
        <f>H59/H72</f>
        <v>0.05001074080866236</v>
      </c>
      <c r="J59" s="318">
        <v>832</v>
      </c>
      <c r="K59" s="319"/>
      <c r="L59" s="319">
        <v>16</v>
      </c>
      <c r="M59" s="319"/>
      <c r="N59" s="319"/>
      <c r="O59" s="321"/>
      <c r="P59" s="322"/>
      <c r="Q59" s="323">
        <v>57</v>
      </c>
      <c r="R59" s="318"/>
      <c r="S59" s="319"/>
      <c r="T59" s="322"/>
      <c r="U59" s="318"/>
      <c r="V59" s="321"/>
      <c r="W59" s="323"/>
      <c r="X59" s="318">
        <v>77</v>
      </c>
      <c r="Y59" s="319">
        <v>283</v>
      </c>
      <c r="Z59" s="319"/>
      <c r="AA59" s="319"/>
      <c r="AB59" s="322"/>
    </row>
    <row r="60" spans="2:28" s="1" customFormat="1" ht="13.5" thickBot="1">
      <c r="B60" s="1272"/>
      <c r="C60" s="1273"/>
      <c r="D60" s="1276"/>
      <c r="E60" s="1264"/>
      <c r="F60" s="1261"/>
      <c r="G60" s="1264"/>
      <c r="H60" s="1267"/>
      <c r="I60" s="1240"/>
      <c r="J60" s="354"/>
      <c r="K60" s="362"/>
      <c r="L60" s="362"/>
      <c r="M60" s="362"/>
      <c r="N60" s="362"/>
      <c r="O60" s="356"/>
      <c r="P60" s="357"/>
      <c r="Q60" s="358">
        <v>263</v>
      </c>
      <c r="R60" s="354"/>
      <c r="S60" s="362"/>
      <c r="T60" s="357"/>
      <c r="U60" s="354"/>
      <c r="V60" s="356"/>
      <c r="W60" s="358"/>
      <c r="X60" s="354"/>
      <c r="Y60" s="362">
        <v>476</v>
      </c>
      <c r="Z60" s="362"/>
      <c r="AA60" s="362"/>
      <c r="AB60" s="357"/>
    </row>
    <row r="61" spans="2:28" s="1" customFormat="1" ht="12.75">
      <c r="B61" s="1270" t="s">
        <v>158</v>
      </c>
      <c r="C61" s="1271"/>
      <c r="D61" s="1275">
        <v>54</v>
      </c>
      <c r="E61" s="1263">
        <f>D61/$D$72</f>
        <v>0.07068062827225131</v>
      </c>
      <c r="F61" s="1259">
        <v>14</v>
      </c>
      <c r="G61" s="1262">
        <f>F61/D61</f>
        <v>0.25925925925925924</v>
      </c>
      <c r="H61" s="1265">
        <f>SUM(2*J5)+(1*K5)+(1*L5)+(1*O5)+(3*Q5)+(1*R5)+(2*S5)+(2*Y5)+(1*P5)</f>
        <v>4773.180000000001</v>
      </c>
      <c r="I61" s="1238">
        <f>H61/H72</f>
        <v>0.08523327197173929</v>
      </c>
      <c r="J61" s="318">
        <v>830</v>
      </c>
      <c r="K61" s="319">
        <v>953</v>
      </c>
      <c r="L61" s="319">
        <v>190</v>
      </c>
      <c r="M61" s="319"/>
      <c r="N61" s="319"/>
      <c r="O61" s="321">
        <v>651</v>
      </c>
      <c r="P61" s="322"/>
      <c r="Q61" s="323">
        <v>431</v>
      </c>
      <c r="R61" s="318">
        <v>168</v>
      </c>
      <c r="S61" s="319">
        <v>301</v>
      </c>
      <c r="T61" s="322"/>
      <c r="U61" s="318"/>
      <c r="V61" s="321"/>
      <c r="W61" s="323"/>
      <c r="X61" s="318"/>
      <c r="Y61" s="319">
        <v>301</v>
      </c>
      <c r="Z61" s="319"/>
      <c r="AA61" s="319"/>
      <c r="AB61" s="322"/>
    </row>
    <row r="62" spans="2:28" s="1" customFormat="1" ht="12.75">
      <c r="B62" s="1270"/>
      <c r="C62" s="1271"/>
      <c r="D62" s="1275"/>
      <c r="E62" s="1263"/>
      <c r="F62" s="1260"/>
      <c r="G62" s="1263"/>
      <c r="H62" s="1266"/>
      <c r="I62" s="1239"/>
      <c r="J62" s="354">
        <v>657</v>
      </c>
      <c r="K62" s="362"/>
      <c r="L62" s="362"/>
      <c r="M62" s="362"/>
      <c r="N62" s="362"/>
      <c r="O62" s="356"/>
      <c r="P62" s="386">
        <v>755</v>
      </c>
      <c r="Q62" s="358">
        <v>578</v>
      </c>
      <c r="R62" s="387"/>
      <c r="S62" s="362">
        <v>566</v>
      </c>
      <c r="T62" s="357"/>
      <c r="U62" s="354"/>
      <c r="V62" s="356"/>
      <c r="W62" s="358"/>
      <c r="X62" s="354"/>
      <c r="Y62" s="362">
        <v>169</v>
      </c>
      <c r="Z62" s="362"/>
      <c r="AA62" s="362"/>
      <c r="AB62" s="357"/>
    </row>
    <row r="63" spans="2:28" s="1" customFormat="1" ht="13.5" thickBot="1">
      <c r="B63" s="1270"/>
      <c r="C63" s="1271"/>
      <c r="D63" s="1275"/>
      <c r="E63" s="1263"/>
      <c r="F63" s="1261"/>
      <c r="G63" s="1264"/>
      <c r="H63" s="1267"/>
      <c r="I63" s="1240"/>
      <c r="J63" s="354"/>
      <c r="K63" s="362"/>
      <c r="L63" s="362"/>
      <c r="M63" s="362"/>
      <c r="N63" s="362"/>
      <c r="O63" s="356"/>
      <c r="P63" s="357"/>
      <c r="Q63" s="358">
        <v>714</v>
      </c>
      <c r="R63" s="354"/>
      <c r="S63" s="362"/>
      <c r="T63" s="357"/>
      <c r="U63" s="354"/>
      <c r="V63" s="356"/>
      <c r="W63" s="358"/>
      <c r="X63" s="354"/>
      <c r="Y63" s="362"/>
      <c r="Z63" s="362"/>
      <c r="AA63" s="362"/>
      <c r="AB63" s="357"/>
    </row>
    <row r="64" spans="1:29" ht="12.75">
      <c r="A64" s="5"/>
      <c r="B64" s="1268" t="s">
        <v>159</v>
      </c>
      <c r="C64" s="1269"/>
      <c r="D64" s="1274">
        <v>76</v>
      </c>
      <c r="E64" s="1262">
        <f>D64/$D$72</f>
        <v>0.09947643979057591</v>
      </c>
      <c r="F64" s="1259">
        <v>17</v>
      </c>
      <c r="G64" s="1262">
        <f>F64/D64</f>
        <v>0.2236842105263158</v>
      </c>
      <c r="H64" s="1265">
        <f>SUM(3*J5)+(2*K5)+(2*L5)+(2*Q5)+(1*P5)+(2*S5)+(2*T5)+(1*W5)+(1*X5)+(1*AB5)</f>
        <v>5064.3</v>
      </c>
      <c r="I64" s="1238">
        <f>H64/H72</f>
        <v>0.09043171622408523</v>
      </c>
      <c r="J64" s="318">
        <v>89</v>
      </c>
      <c r="K64" s="319">
        <v>46</v>
      </c>
      <c r="L64" s="319">
        <v>514</v>
      </c>
      <c r="M64" s="319"/>
      <c r="N64" s="319"/>
      <c r="O64" s="321"/>
      <c r="P64" s="383">
        <v>973</v>
      </c>
      <c r="Q64" s="323">
        <v>172</v>
      </c>
      <c r="R64" s="384"/>
      <c r="S64" s="319">
        <v>1261</v>
      </c>
      <c r="T64" s="321">
        <v>603</v>
      </c>
      <c r="U64" s="365"/>
      <c r="V64" s="321"/>
      <c r="W64" s="323">
        <v>9</v>
      </c>
      <c r="X64" s="318">
        <v>499</v>
      </c>
      <c r="Y64" s="319"/>
      <c r="Z64" s="319"/>
      <c r="AA64" s="319"/>
      <c r="AB64" s="322">
        <v>754</v>
      </c>
      <c r="AC64" s="241"/>
    </row>
    <row r="65" spans="1:29" ht="12.75">
      <c r="A65" s="5"/>
      <c r="B65" s="1270"/>
      <c r="C65" s="1271"/>
      <c r="D65" s="1275"/>
      <c r="E65" s="1263"/>
      <c r="F65" s="1260"/>
      <c r="G65" s="1263"/>
      <c r="H65" s="1266"/>
      <c r="I65" s="1239"/>
      <c r="J65" s="354">
        <v>212</v>
      </c>
      <c r="K65" s="362">
        <v>777</v>
      </c>
      <c r="L65" s="362">
        <v>78</v>
      </c>
      <c r="M65" s="362"/>
      <c r="N65" s="362"/>
      <c r="O65" s="356"/>
      <c r="P65" s="357"/>
      <c r="Q65" s="358">
        <v>313</v>
      </c>
      <c r="R65" s="354"/>
      <c r="S65" s="362">
        <v>317</v>
      </c>
      <c r="T65" s="356">
        <v>36</v>
      </c>
      <c r="U65" s="394"/>
      <c r="V65" s="356"/>
      <c r="W65" s="358"/>
      <c r="X65" s="354"/>
      <c r="Y65" s="362"/>
      <c r="Z65" s="362"/>
      <c r="AA65" s="362"/>
      <c r="AB65" s="357"/>
      <c r="AC65" s="241"/>
    </row>
    <row r="66" spans="1:29" ht="13.5" thickBot="1">
      <c r="A66" s="5"/>
      <c r="B66" s="1272"/>
      <c r="C66" s="1273"/>
      <c r="D66" s="1276"/>
      <c r="E66" s="1264"/>
      <c r="F66" s="1261"/>
      <c r="G66" s="1264"/>
      <c r="H66" s="1267"/>
      <c r="I66" s="1240"/>
      <c r="J66" s="354">
        <v>181</v>
      </c>
      <c r="K66" s="362"/>
      <c r="L66" s="362"/>
      <c r="M66" s="362"/>
      <c r="N66" s="362"/>
      <c r="O66" s="356"/>
      <c r="P66" s="357"/>
      <c r="Q66" s="358"/>
      <c r="R66" s="354"/>
      <c r="S66" s="362"/>
      <c r="T66" s="356"/>
      <c r="U66" s="394"/>
      <c r="V66" s="356"/>
      <c r="W66" s="358"/>
      <c r="X66" s="354"/>
      <c r="Y66" s="362"/>
      <c r="Z66" s="362"/>
      <c r="AA66" s="362"/>
      <c r="AB66" s="357"/>
      <c r="AC66" s="241"/>
    </row>
    <row r="67" spans="1:28" ht="12.75">
      <c r="A67" s="5"/>
      <c r="B67" s="1247" t="s">
        <v>160</v>
      </c>
      <c r="C67" s="1248"/>
      <c r="D67" s="1253">
        <v>76</v>
      </c>
      <c r="E67" s="1256">
        <f>D67/$D$72</f>
        <v>0.09947643979057591</v>
      </c>
      <c r="F67" s="1259">
        <v>21</v>
      </c>
      <c r="G67" s="1262">
        <f>F67/D67</f>
        <v>0.27631578947368424</v>
      </c>
      <c r="H67" s="1265">
        <f>SUM(3*J5)+(2*K5)+(1*Q5)+(1*R5)+(2*S5)+(1*U5)+(1*V5)+(2*W5)+(4*Y5)+(1*T5)+(3*AB5)</f>
        <v>4989.44</v>
      </c>
      <c r="I67" s="1238">
        <f>H67/H72</f>
        <v>0.08909496321250711</v>
      </c>
      <c r="J67" s="318">
        <v>444</v>
      </c>
      <c r="K67" s="319">
        <v>154</v>
      </c>
      <c r="L67" s="319"/>
      <c r="M67" s="319"/>
      <c r="N67" s="319"/>
      <c r="O67" s="321"/>
      <c r="P67" s="322"/>
      <c r="Q67" s="323">
        <v>281</v>
      </c>
      <c r="R67" s="365">
        <v>225</v>
      </c>
      <c r="S67" s="319">
        <v>606</v>
      </c>
      <c r="T67" s="322">
        <v>441</v>
      </c>
      <c r="U67" s="365">
        <v>353</v>
      </c>
      <c r="V67" s="322">
        <v>288</v>
      </c>
      <c r="W67" s="364">
        <v>620</v>
      </c>
      <c r="X67" s="365"/>
      <c r="Y67" s="319">
        <v>734</v>
      </c>
      <c r="Z67" s="319"/>
      <c r="AA67" s="319"/>
      <c r="AB67" s="322">
        <v>489</v>
      </c>
    </row>
    <row r="68" spans="1:28" ht="12.75">
      <c r="A68" s="5"/>
      <c r="B68" s="1249"/>
      <c r="C68" s="1250"/>
      <c r="D68" s="1254"/>
      <c r="E68" s="1257"/>
      <c r="F68" s="1260"/>
      <c r="G68" s="1263"/>
      <c r="H68" s="1266"/>
      <c r="I68" s="1239"/>
      <c r="J68" s="354">
        <v>894</v>
      </c>
      <c r="K68" s="362">
        <v>879</v>
      </c>
      <c r="L68" s="362"/>
      <c r="M68" s="362"/>
      <c r="N68" s="362"/>
      <c r="O68" s="356"/>
      <c r="P68" s="357"/>
      <c r="Q68" s="358"/>
      <c r="R68" s="394"/>
      <c r="S68" s="362">
        <v>170</v>
      </c>
      <c r="T68" s="357"/>
      <c r="U68" s="394"/>
      <c r="V68" s="357"/>
      <c r="W68" s="395">
        <v>812</v>
      </c>
      <c r="X68" s="394"/>
      <c r="Y68" s="362">
        <v>178</v>
      </c>
      <c r="Z68" s="362"/>
      <c r="AA68" s="362"/>
      <c r="AB68" s="357">
        <v>704</v>
      </c>
    </row>
    <row r="69" spans="1:28" ht="12.75">
      <c r="A69" s="5"/>
      <c r="B69" s="1249"/>
      <c r="C69" s="1250"/>
      <c r="D69" s="1254"/>
      <c r="E69" s="1257"/>
      <c r="F69" s="1260"/>
      <c r="G69" s="1263"/>
      <c r="H69" s="1266"/>
      <c r="I69" s="1239"/>
      <c r="J69" s="354">
        <v>196</v>
      </c>
      <c r="K69" s="362"/>
      <c r="L69" s="362"/>
      <c r="M69" s="362"/>
      <c r="N69" s="362"/>
      <c r="O69" s="356"/>
      <c r="P69" s="357"/>
      <c r="Q69" s="358"/>
      <c r="R69" s="394"/>
      <c r="S69" s="362"/>
      <c r="T69" s="357"/>
      <c r="U69" s="394"/>
      <c r="V69" s="357"/>
      <c r="W69" s="395"/>
      <c r="X69" s="394"/>
      <c r="Y69" s="362">
        <v>599</v>
      </c>
      <c r="Z69" s="362"/>
      <c r="AA69" s="362"/>
      <c r="AB69" s="357">
        <v>630</v>
      </c>
    </row>
    <row r="70" spans="1:28" ht="13.5" thickBot="1">
      <c r="A70" s="5"/>
      <c r="B70" s="1251"/>
      <c r="C70" s="1252"/>
      <c r="D70" s="1255"/>
      <c r="E70" s="1258"/>
      <c r="F70" s="1261"/>
      <c r="G70" s="1264"/>
      <c r="H70" s="1267"/>
      <c r="I70" s="1240"/>
      <c r="J70" s="332"/>
      <c r="K70" s="339"/>
      <c r="L70" s="339"/>
      <c r="M70" s="339"/>
      <c r="N70" s="339"/>
      <c r="O70" s="335"/>
      <c r="P70" s="336"/>
      <c r="Q70" s="337"/>
      <c r="R70" s="392"/>
      <c r="S70" s="339"/>
      <c r="T70" s="336"/>
      <c r="U70" s="392"/>
      <c r="V70" s="336"/>
      <c r="W70" s="396"/>
      <c r="X70" s="392"/>
      <c r="Y70" s="339">
        <v>575</v>
      </c>
      <c r="Z70" s="339"/>
      <c r="AA70" s="339"/>
      <c r="AB70" s="336"/>
    </row>
    <row r="71" spans="1:28" ht="25.5" customHeight="1" thickBot="1">
      <c r="A71" s="5"/>
      <c r="B71" s="1241" t="s">
        <v>45</v>
      </c>
      <c r="C71" s="1242"/>
      <c r="D71" s="397"/>
      <c r="E71" s="398"/>
      <c r="F71" s="397"/>
      <c r="G71" s="398"/>
      <c r="H71" s="399"/>
      <c r="I71" s="400"/>
      <c r="J71" s="401">
        <f aca="true" t="shared" si="0" ref="J71:AB71">COUNTIF(J6:J70,"&gt;0")</f>
        <v>41</v>
      </c>
      <c r="K71" s="402">
        <f t="shared" si="0"/>
        <v>15</v>
      </c>
      <c r="L71" s="402">
        <f t="shared" si="0"/>
        <v>22</v>
      </c>
      <c r="M71" s="402">
        <f t="shared" si="0"/>
        <v>4</v>
      </c>
      <c r="N71" s="402">
        <f t="shared" si="0"/>
        <v>1</v>
      </c>
      <c r="O71" s="403">
        <f t="shared" si="0"/>
        <v>8</v>
      </c>
      <c r="P71" s="403">
        <f t="shared" si="0"/>
        <v>7</v>
      </c>
      <c r="Q71" s="404">
        <f t="shared" si="0"/>
        <v>18</v>
      </c>
      <c r="R71" s="401">
        <f t="shared" si="0"/>
        <v>7</v>
      </c>
      <c r="S71" s="402">
        <f t="shared" si="0"/>
        <v>14</v>
      </c>
      <c r="T71" s="405">
        <f t="shared" si="0"/>
        <v>5</v>
      </c>
      <c r="U71" s="401">
        <f t="shared" si="0"/>
        <v>6</v>
      </c>
      <c r="V71" s="403">
        <f t="shared" si="0"/>
        <v>5</v>
      </c>
      <c r="W71" s="404">
        <f t="shared" si="0"/>
        <v>21</v>
      </c>
      <c r="X71" s="401">
        <f t="shared" si="0"/>
        <v>6</v>
      </c>
      <c r="Y71" s="406">
        <f t="shared" si="0"/>
        <v>27</v>
      </c>
      <c r="Z71" s="402">
        <f t="shared" si="0"/>
        <v>0</v>
      </c>
      <c r="AA71" s="402">
        <f t="shared" si="0"/>
        <v>2</v>
      </c>
      <c r="AB71" s="405">
        <f t="shared" si="0"/>
        <v>6</v>
      </c>
    </row>
    <row r="72" spans="1:28" ht="26.25" customHeight="1" thickBot="1" thickTop="1">
      <c r="A72" s="5"/>
      <c r="B72" s="1243" t="s">
        <v>161</v>
      </c>
      <c r="C72" s="1244"/>
      <c r="D72" s="407">
        <f>SUM(D6:D70)</f>
        <v>764</v>
      </c>
      <c r="E72" s="408"/>
      <c r="F72" s="407">
        <f>SUM(F6:F70)</f>
        <v>210</v>
      </c>
      <c r="G72" s="409">
        <f>F72/D72</f>
        <v>0.27486910994764396</v>
      </c>
      <c r="H72" s="410">
        <f>SUM(H6:H70)</f>
        <v>56001.37</v>
      </c>
      <c r="I72" s="408"/>
      <c r="J72" s="411">
        <f aca="true" t="shared" si="1" ref="J72:AB72">J5*J71</f>
        <v>14824.779999999999</v>
      </c>
      <c r="K72" s="411">
        <f t="shared" si="1"/>
        <v>3586.5</v>
      </c>
      <c r="L72" s="411">
        <f t="shared" si="1"/>
        <v>4312.66</v>
      </c>
      <c r="M72" s="411">
        <f t="shared" si="1"/>
        <v>544.88</v>
      </c>
      <c r="N72" s="411">
        <f t="shared" si="1"/>
        <v>84.2</v>
      </c>
      <c r="O72" s="411">
        <f t="shared" si="1"/>
        <v>731.92</v>
      </c>
      <c r="P72" s="411">
        <f t="shared" si="1"/>
        <v>1926.26</v>
      </c>
      <c r="Q72" s="411">
        <f t="shared" si="1"/>
        <v>14507.64</v>
      </c>
      <c r="R72" s="411">
        <f t="shared" si="1"/>
        <v>1392.86</v>
      </c>
      <c r="S72" s="411">
        <f t="shared" si="1"/>
        <v>2101.4</v>
      </c>
      <c r="T72" s="411">
        <f t="shared" si="1"/>
        <v>597.1</v>
      </c>
      <c r="U72" s="411">
        <f t="shared" si="1"/>
        <v>734.88</v>
      </c>
      <c r="V72" s="411">
        <f t="shared" si="1"/>
        <v>755</v>
      </c>
      <c r="W72" s="411">
        <f t="shared" si="1"/>
        <v>1745.52</v>
      </c>
      <c r="X72" s="411">
        <f t="shared" si="1"/>
        <v>1800</v>
      </c>
      <c r="Y72" s="411">
        <f t="shared" si="1"/>
        <v>4469.85</v>
      </c>
      <c r="Z72" s="411">
        <f t="shared" si="1"/>
        <v>0</v>
      </c>
      <c r="AA72" s="411">
        <f t="shared" si="1"/>
        <v>600</v>
      </c>
      <c r="AB72" s="411">
        <f t="shared" si="1"/>
        <v>1800</v>
      </c>
    </row>
    <row r="73" spans="2:28" ht="15" customHeight="1" thickBot="1" thickTop="1">
      <c r="B73" s="412"/>
      <c r="C73" s="412"/>
      <c r="D73" s="412"/>
      <c r="E73" s="412"/>
      <c r="F73" s="412"/>
      <c r="G73" s="413"/>
      <c r="H73" s="412"/>
      <c r="I73" s="413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</row>
    <row r="74" spans="2:28" ht="22.5" thickBot="1" thickTop="1">
      <c r="B74" s="1245" t="s">
        <v>58</v>
      </c>
      <c r="C74" s="1246"/>
      <c r="D74" s="1246"/>
      <c r="E74" s="1246"/>
      <c r="F74" s="1246"/>
      <c r="G74" s="1246"/>
      <c r="H74" s="1246"/>
      <c r="I74" s="1246"/>
      <c r="J74" s="1246"/>
      <c r="K74" s="1246"/>
      <c r="L74" s="414">
        <f>SUM(F6:F70)</f>
        <v>210</v>
      </c>
      <c r="M74" s="415"/>
      <c r="N74" s="416"/>
      <c r="O74" s="415"/>
      <c r="P74" s="415"/>
      <c r="Q74" s="415"/>
      <c r="R74" s="415"/>
      <c r="S74" s="415"/>
      <c r="T74" s="415"/>
      <c r="U74" s="415"/>
      <c r="V74" s="415"/>
      <c r="W74" s="415"/>
      <c r="X74" s="415"/>
      <c r="Y74" s="417"/>
      <c r="Z74" s="415"/>
      <c r="AA74" s="415"/>
      <c r="AB74" s="415"/>
    </row>
    <row r="75" ht="13.5" thickTop="1"/>
  </sheetData>
  <sheetProtection/>
  <mergeCells count="161">
    <mergeCell ref="B2:C3"/>
    <mergeCell ref="D2:D3"/>
    <mergeCell ref="E2:E3"/>
    <mergeCell ref="F2:F3"/>
    <mergeCell ref="G2:G3"/>
    <mergeCell ref="H2:H3"/>
    <mergeCell ref="I2:I3"/>
    <mergeCell ref="J2:P2"/>
    <mergeCell ref="Q2:Q3"/>
    <mergeCell ref="R2:T2"/>
    <mergeCell ref="U2:V2"/>
    <mergeCell ref="W2:W3"/>
    <mergeCell ref="X2:AB2"/>
    <mergeCell ref="B4:C4"/>
    <mergeCell ref="B5:C5"/>
    <mergeCell ref="B6:C8"/>
    <mergeCell ref="D6:D8"/>
    <mergeCell ref="E6:E8"/>
    <mergeCell ref="F6:F8"/>
    <mergeCell ref="G6:G8"/>
    <mergeCell ref="H6:H8"/>
    <mergeCell ref="I6:I8"/>
    <mergeCell ref="B9:C9"/>
    <mergeCell ref="B10:C13"/>
    <mergeCell ref="D10:D13"/>
    <mergeCell ref="E10:E13"/>
    <mergeCell ref="F10:F13"/>
    <mergeCell ref="G10:G13"/>
    <mergeCell ref="H10:H13"/>
    <mergeCell ref="I10:I13"/>
    <mergeCell ref="I14:I15"/>
    <mergeCell ref="I16:I20"/>
    <mergeCell ref="B14:C15"/>
    <mergeCell ref="D14:D15"/>
    <mergeCell ref="E14:E15"/>
    <mergeCell ref="F14:F15"/>
    <mergeCell ref="G14:G15"/>
    <mergeCell ref="H14:H15"/>
    <mergeCell ref="D21:D22"/>
    <mergeCell ref="E21:E22"/>
    <mergeCell ref="F21:F22"/>
    <mergeCell ref="G21:G22"/>
    <mergeCell ref="H21:H22"/>
    <mergeCell ref="E16:E20"/>
    <mergeCell ref="F16:F20"/>
    <mergeCell ref="G16:G20"/>
    <mergeCell ref="H16:H20"/>
    <mergeCell ref="I21:I22"/>
    <mergeCell ref="B16:C20"/>
    <mergeCell ref="D16:D20"/>
    <mergeCell ref="B23:C25"/>
    <mergeCell ref="D23:D25"/>
    <mergeCell ref="E23:E25"/>
    <mergeCell ref="F23:F25"/>
    <mergeCell ref="G23:G25"/>
    <mergeCell ref="H23:H25"/>
    <mergeCell ref="B21:C22"/>
    <mergeCell ref="B26:C26"/>
    <mergeCell ref="B27:C28"/>
    <mergeCell ref="D27:D28"/>
    <mergeCell ref="E27:E28"/>
    <mergeCell ref="F27:F28"/>
    <mergeCell ref="G27:G28"/>
    <mergeCell ref="E29:E31"/>
    <mergeCell ref="F29:F31"/>
    <mergeCell ref="G29:G31"/>
    <mergeCell ref="H29:H31"/>
    <mergeCell ref="I23:I25"/>
    <mergeCell ref="AC23:AC25"/>
    <mergeCell ref="H27:H28"/>
    <mergeCell ref="I27:I28"/>
    <mergeCell ref="I29:I31"/>
    <mergeCell ref="B32:C34"/>
    <mergeCell ref="D32:D34"/>
    <mergeCell ref="E32:E34"/>
    <mergeCell ref="F32:F34"/>
    <mergeCell ref="G32:G34"/>
    <mergeCell ref="H32:H34"/>
    <mergeCell ref="I32:I34"/>
    <mergeCell ref="B29:C31"/>
    <mergeCell ref="D29:D31"/>
    <mergeCell ref="H39:H40"/>
    <mergeCell ref="I39:I40"/>
    <mergeCell ref="B35:C38"/>
    <mergeCell ref="D35:D38"/>
    <mergeCell ref="E35:E38"/>
    <mergeCell ref="F35:F38"/>
    <mergeCell ref="G35:G38"/>
    <mergeCell ref="H35:H38"/>
    <mergeCell ref="E41:E49"/>
    <mergeCell ref="F41:F49"/>
    <mergeCell ref="G41:G49"/>
    <mergeCell ref="H41:H49"/>
    <mergeCell ref="I35:I38"/>
    <mergeCell ref="B39:C40"/>
    <mergeCell ref="D39:D40"/>
    <mergeCell ref="E39:E40"/>
    <mergeCell ref="F39:F40"/>
    <mergeCell ref="G39:G40"/>
    <mergeCell ref="I41:I49"/>
    <mergeCell ref="B50:C51"/>
    <mergeCell ref="D50:D51"/>
    <mergeCell ref="E50:E51"/>
    <mergeCell ref="F50:F51"/>
    <mergeCell ref="G50:G51"/>
    <mergeCell ref="H50:H51"/>
    <mergeCell ref="I50:I51"/>
    <mergeCell ref="B41:C49"/>
    <mergeCell ref="D41:D49"/>
    <mergeCell ref="H54:H56"/>
    <mergeCell ref="I54:I56"/>
    <mergeCell ref="B52:C53"/>
    <mergeCell ref="D52:D53"/>
    <mergeCell ref="E52:E53"/>
    <mergeCell ref="F52:F53"/>
    <mergeCell ref="G52:G53"/>
    <mergeCell ref="I57:I58"/>
    <mergeCell ref="H52:H53"/>
    <mergeCell ref="E57:E58"/>
    <mergeCell ref="F57:F58"/>
    <mergeCell ref="G57:G58"/>
    <mergeCell ref="H57:H58"/>
    <mergeCell ref="I52:I53"/>
    <mergeCell ref="D59:D60"/>
    <mergeCell ref="E59:E60"/>
    <mergeCell ref="F59:F60"/>
    <mergeCell ref="G59:G60"/>
    <mergeCell ref="H59:H60"/>
    <mergeCell ref="B54:C56"/>
    <mergeCell ref="D54:D56"/>
    <mergeCell ref="E54:E56"/>
    <mergeCell ref="F54:F56"/>
    <mergeCell ref="G54:G56"/>
    <mergeCell ref="I59:I60"/>
    <mergeCell ref="B57:C58"/>
    <mergeCell ref="D57:D58"/>
    <mergeCell ref="B61:C63"/>
    <mergeCell ref="D61:D63"/>
    <mergeCell ref="E61:E63"/>
    <mergeCell ref="F61:F63"/>
    <mergeCell ref="G61:G63"/>
    <mergeCell ref="H61:H63"/>
    <mergeCell ref="B59:C60"/>
    <mergeCell ref="I61:I63"/>
    <mergeCell ref="B64:C66"/>
    <mergeCell ref="D64:D66"/>
    <mergeCell ref="E64:E66"/>
    <mergeCell ref="F64:F66"/>
    <mergeCell ref="G64:G66"/>
    <mergeCell ref="H64:H66"/>
    <mergeCell ref="I64:I66"/>
    <mergeCell ref="I67:I70"/>
    <mergeCell ref="B71:C71"/>
    <mergeCell ref="B72:C72"/>
    <mergeCell ref="B74:K74"/>
    <mergeCell ref="B67:C70"/>
    <mergeCell ref="D67:D70"/>
    <mergeCell ref="E67:E70"/>
    <mergeCell ref="F67:F70"/>
    <mergeCell ref="G67:G70"/>
    <mergeCell ref="H67:H70"/>
  </mergeCells>
  <printOptions/>
  <pageMargins left="0.4724409448818898" right="0.1968503937007874" top="0.15748031496062992" bottom="0.31496062992125984" header="0.2755905511811024" footer="0.31496062992125984"/>
  <pageSetup fitToHeight="1" fitToWidth="1" horizontalDpi="600" verticalDpi="600" orientation="landscape" paperSize="8" scale="64"/>
  <headerFooter alignWithMargins="0">
    <oddFooter>&amp;C&amp;D&amp;RDOTATIONS 2011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D86"/>
  <sheetViews>
    <sheetView showGridLines="0" zoomScalePageLayoutView="0" workbookViewId="0" topLeftCell="A1">
      <pane ySplit="5" topLeftCell="A56" activePane="bottomLeft" state="frozen"/>
      <selection pane="topLeft" activeCell="K1" sqref="K1"/>
      <selection pane="bottomLeft" activeCell="A88" sqref="A87:IV88"/>
    </sheetView>
  </sheetViews>
  <sheetFormatPr defaultColWidth="11.421875" defaultRowHeight="12.75"/>
  <cols>
    <col min="1" max="1" width="2.421875" style="0" customWidth="1"/>
    <col min="2" max="2" width="12.7109375" style="0" customWidth="1"/>
    <col min="3" max="3" width="10.00390625" style="0" customWidth="1"/>
    <col min="4" max="5" width="9.28125" style="188" customWidth="1"/>
    <col min="6" max="6" width="8.8515625" style="188" customWidth="1"/>
    <col min="7" max="7" width="8.421875" style="418" customWidth="1"/>
    <col min="8" max="8" width="11.8515625" style="188" customWidth="1"/>
    <col min="9" max="9" width="9.7109375" style="418" bestFit="1" customWidth="1"/>
    <col min="10" max="10" width="9.7109375" style="418" customWidth="1"/>
    <col min="11" max="11" width="15.8515625" style="10" bestFit="1" customWidth="1"/>
    <col min="12" max="12" width="11.00390625" style="10" bestFit="1" customWidth="1"/>
    <col min="13" max="13" width="15.8515625" style="10" bestFit="1" customWidth="1"/>
    <col min="14" max="14" width="12.140625" style="10" bestFit="1" customWidth="1"/>
    <col min="15" max="15" width="9.00390625" style="10" bestFit="1" customWidth="1"/>
    <col min="16" max="16" width="13.140625" style="10" bestFit="1" customWidth="1"/>
    <col min="17" max="17" width="11.7109375" style="10" bestFit="1" customWidth="1"/>
    <col min="18" max="18" width="12.421875" style="10" bestFit="1" customWidth="1"/>
    <col min="19" max="19" width="11.140625" style="10" bestFit="1" customWidth="1"/>
    <col min="20" max="20" width="13.7109375" style="10" bestFit="1" customWidth="1"/>
    <col min="21" max="21" width="11.140625" style="10" bestFit="1" customWidth="1"/>
    <col min="22" max="22" width="11.28125" style="10" customWidth="1"/>
    <col min="23" max="23" width="10.8515625" style="10" customWidth="1"/>
    <col min="24" max="24" width="9.421875" style="10" bestFit="1" customWidth="1"/>
    <col min="25" max="25" width="10.28125" style="10" bestFit="1" customWidth="1"/>
    <col min="26" max="26" width="11.140625" style="192" bestFit="1" customWidth="1"/>
    <col min="27" max="27" width="8.00390625" style="10" bestFit="1" customWidth="1"/>
    <col min="28" max="28" width="14.421875" style="10" bestFit="1" customWidth="1"/>
  </cols>
  <sheetData>
    <row r="1" spans="2:10" ht="16.5" thickBot="1">
      <c r="B1" s="5"/>
      <c r="C1" s="5"/>
      <c r="D1" s="184"/>
      <c r="E1" s="184"/>
      <c r="F1" s="184"/>
      <c r="G1" s="286"/>
      <c r="H1" s="184"/>
      <c r="I1" s="286"/>
      <c r="J1" s="419"/>
    </row>
    <row r="2" spans="1:28" ht="29.25" customHeight="1" thickBot="1">
      <c r="A2" s="5"/>
      <c r="B2" s="1347" t="s">
        <v>21</v>
      </c>
      <c r="C2" s="1348"/>
      <c r="D2" s="1351" t="s">
        <v>162</v>
      </c>
      <c r="E2" s="1338" t="s">
        <v>120</v>
      </c>
      <c r="F2" s="1354" t="s">
        <v>121</v>
      </c>
      <c r="G2" s="1338" t="s">
        <v>122</v>
      </c>
      <c r="H2" s="1351" t="s">
        <v>123</v>
      </c>
      <c r="I2" s="1338" t="s">
        <v>124</v>
      </c>
      <c r="J2" s="1384" t="s">
        <v>163</v>
      </c>
      <c r="K2" s="1340" t="s">
        <v>0</v>
      </c>
      <c r="L2" s="1341"/>
      <c r="M2" s="1341"/>
      <c r="N2" s="1341"/>
      <c r="O2" s="1341"/>
      <c r="P2" s="1341"/>
      <c r="Q2" s="1341"/>
      <c r="R2" s="1343" t="s">
        <v>125</v>
      </c>
      <c r="S2" s="1322" t="s">
        <v>1</v>
      </c>
      <c r="T2" s="1323"/>
      <c r="U2" s="1324"/>
      <c r="V2" s="1322" t="s">
        <v>2</v>
      </c>
      <c r="W2" s="1345"/>
      <c r="X2" s="1343" t="s">
        <v>126</v>
      </c>
      <c r="Y2" s="1322" t="s">
        <v>3</v>
      </c>
      <c r="Z2" s="1323"/>
      <c r="AA2" s="1323"/>
      <c r="AB2" s="1324"/>
    </row>
    <row r="3" spans="1:30" ht="66.75" customHeight="1" thickBot="1">
      <c r="A3" s="193"/>
      <c r="B3" s="1349"/>
      <c r="C3" s="1350"/>
      <c r="D3" s="1352"/>
      <c r="E3" s="1353"/>
      <c r="F3" s="1355"/>
      <c r="G3" s="1353"/>
      <c r="H3" s="1352"/>
      <c r="I3" s="1339"/>
      <c r="J3" s="1385"/>
      <c r="K3" s="287" t="s">
        <v>4</v>
      </c>
      <c r="L3" s="288" t="s">
        <v>127</v>
      </c>
      <c r="M3" s="288" t="s">
        <v>5</v>
      </c>
      <c r="N3" s="288" t="s">
        <v>7</v>
      </c>
      <c r="O3" s="288" t="s">
        <v>8</v>
      </c>
      <c r="P3" s="289" t="s">
        <v>164</v>
      </c>
      <c r="Q3" s="289" t="s">
        <v>165</v>
      </c>
      <c r="R3" s="1386"/>
      <c r="S3" s="291" t="s">
        <v>11</v>
      </c>
      <c r="T3" s="288" t="s">
        <v>166</v>
      </c>
      <c r="U3" s="290" t="s">
        <v>13</v>
      </c>
      <c r="V3" s="291" t="s">
        <v>14</v>
      </c>
      <c r="W3" s="292" t="s">
        <v>15</v>
      </c>
      <c r="X3" s="1346"/>
      <c r="Y3" s="291" t="s">
        <v>17</v>
      </c>
      <c r="Z3" s="293" t="s">
        <v>18</v>
      </c>
      <c r="AA3" s="288" t="s">
        <v>19</v>
      </c>
      <c r="AB3" s="294" t="s">
        <v>20</v>
      </c>
      <c r="AC3" s="3"/>
      <c r="AD3" s="3"/>
    </row>
    <row r="4" spans="1:30" ht="17.25" customHeight="1" thickBot="1">
      <c r="A4" s="193"/>
      <c r="B4" s="1325" t="s">
        <v>129</v>
      </c>
      <c r="C4" s="1326"/>
      <c r="D4" s="295"/>
      <c r="E4" s="296"/>
      <c r="F4" s="297"/>
      <c r="G4" s="298"/>
      <c r="H4" s="295"/>
      <c r="I4" s="298"/>
      <c r="J4" s="420"/>
      <c r="K4" s="291" t="s">
        <v>167</v>
      </c>
      <c r="L4" s="288" t="s">
        <v>131</v>
      </c>
      <c r="M4" s="288" t="s">
        <v>132</v>
      </c>
      <c r="N4" s="288" t="s">
        <v>133</v>
      </c>
      <c r="O4" s="288" t="s">
        <v>133</v>
      </c>
      <c r="P4" s="288" t="s">
        <v>134</v>
      </c>
      <c r="Q4" s="289" t="s">
        <v>134</v>
      </c>
      <c r="R4" s="421" t="s">
        <v>54</v>
      </c>
      <c r="S4" s="422" t="s">
        <v>168</v>
      </c>
      <c r="T4" s="300" t="s">
        <v>135</v>
      </c>
      <c r="U4" s="290" t="s">
        <v>168</v>
      </c>
      <c r="V4" s="422" t="s">
        <v>136</v>
      </c>
      <c r="W4" s="290" t="s">
        <v>54</v>
      </c>
      <c r="X4" s="423" t="s">
        <v>136</v>
      </c>
      <c r="Y4" s="422" t="s">
        <v>134</v>
      </c>
      <c r="Z4" s="302" t="s">
        <v>137</v>
      </c>
      <c r="AA4" s="300" t="s">
        <v>134</v>
      </c>
      <c r="AB4" s="290" t="s">
        <v>134</v>
      </c>
      <c r="AC4" s="3"/>
      <c r="AD4" s="3"/>
    </row>
    <row r="5" spans="1:30" ht="41.25" customHeight="1" thickBot="1">
      <c r="A5" s="193"/>
      <c r="B5" s="1327" t="s">
        <v>138</v>
      </c>
      <c r="C5" s="1328"/>
      <c r="D5" s="303"/>
      <c r="E5" s="304"/>
      <c r="F5" s="303"/>
      <c r="G5" s="305"/>
      <c r="H5" s="424"/>
      <c r="I5" s="425"/>
      <c r="J5" s="305"/>
      <c r="K5" s="426">
        <v>370.4</v>
      </c>
      <c r="L5" s="427">
        <v>248.89</v>
      </c>
      <c r="M5" s="427">
        <v>205.84</v>
      </c>
      <c r="N5" s="427">
        <v>179.4</v>
      </c>
      <c r="O5" s="427">
        <v>83.15</v>
      </c>
      <c r="P5" s="428">
        <v>233.8</v>
      </c>
      <c r="Q5" s="428">
        <v>99.66</v>
      </c>
      <c r="R5" s="429">
        <v>734.9</v>
      </c>
      <c r="S5" s="426">
        <v>215</v>
      </c>
      <c r="T5" s="427">
        <v>183.9</v>
      </c>
      <c r="U5" s="430">
        <v>139.5</v>
      </c>
      <c r="V5" s="426">
        <v>122.5</v>
      </c>
      <c r="W5" s="428">
        <v>129.7</v>
      </c>
      <c r="X5" s="431">
        <v>83.15</v>
      </c>
      <c r="Y5" s="426">
        <v>300</v>
      </c>
      <c r="Z5" s="427">
        <v>165.55</v>
      </c>
      <c r="AA5" s="427">
        <v>300</v>
      </c>
      <c r="AB5" s="430">
        <v>300</v>
      </c>
      <c r="AC5" s="3"/>
      <c r="AD5" s="3"/>
    </row>
    <row r="6" spans="2:28" s="5" customFormat="1" ht="12.75">
      <c r="B6" s="1329" t="s">
        <v>139</v>
      </c>
      <c r="C6" s="1330"/>
      <c r="D6" s="1335">
        <v>13</v>
      </c>
      <c r="E6" s="1307">
        <f>D6/$D$84</f>
        <v>0.01668806161745828</v>
      </c>
      <c r="F6" s="1304">
        <v>1</v>
      </c>
      <c r="G6" s="1307">
        <f>F6/D6</f>
        <v>0.07692307692307693</v>
      </c>
      <c r="H6" s="1366">
        <f>T5</f>
        <v>183.9</v>
      </c>
      <c r="I6" s="1286">
        <f>H6/H84</f>
        <v>0.0034821882002483537</v>
      </c>
      <c r="J6" s="1369">
        <f>H6/D6</f>
        <v>14.146153846153847</v>
      </c>
      <c r="K6" s="318"/>
      <c r="L6" s="319"/>
      <c r="M6" s="320"/>
      <c r="N6" s="320"/>
      <c r="O6" s="320"/>
      <c r="P6" s="321"/>
      <c r="Q6" s="321"/>
      <c r="R6" s="323"/>
      <c r="S6" s="318"/>
      <c r="T6" s="320">
        <v>188</v>
      </c>
      <c r="U6" s="324"/>
      <c r="V6" s="318"/>
      <c r="W6" s="321"/>
      <c r="X6" s="323"/>
      <c r="Y6" s="318"/>
      <c r="Z6" s="319"/>
      <c r="AA6" s="319"/>
      <c r="AB6" s="322"/>
    </row>
    <row r="7" spans="2:28" s="5" customFormat="1" ht="12.75">
      <c r="B7" s="1331"/>
      <c r="C7" s="1332"/>
      <c r="D7" s="1336"/>
      <c r="E7" s="1308"/>
      <c r="F7" s="1305"/>
      <c r="G7" s="1308"/>
      <c r="H7" s="1367"/>
      <c r="I7" s="1287"/>
      <c r="J7" s="1370"/>
      <c r="K7" s="325"/>
      <c r="L7" s="326"/>
      <c r="M7" s="327"/>
      <c r="N7" s="327"/>
      <c r="O7" s="327"/>
      <c r="P7" s="328"/>
      <c r="Q7" s="328"/>
      <c r="R7" s="330"/>
      <c r="S7" s="325"/>
      <c r="T7" s="327"/>
      <c r="U7" s="331"/>
      <c r="V7" s="325"/>
      <c r="W7" s="328"/>
      <c r="X7" s="330"/>
      <c r="Y7" s="325"/>
      <c r="Z7" s="326"/>
      <c r="AA7" s="326"/>
      <c r="AB7" s="329"/>
    </row>
    <row r="8" spans="2:28" s="1" customFormat="1" ht="13.5" thickBot="1">
      <c r="B8" s="1333"/>
      <c r="C8" s="1334"/>
      <c r="D8" s="1337"/>
      <c r="E8" s="1309"/>
      <c r="F8" s="1306"/>
      <c r="G8" s="1309"/>
      <c r="H8" s="1368"/>
      <c r="I8" s="1288"/>
      <c r="J8" s="1371"/>
      <c r="K8" s="332"/>
      <c r="L8" s="333"/>
      <c r="M8" s="334"/>
      <c r="N8" s="334"/>
      <c r="O8" s="334"/>
      <c r="P8" s="335"/>
      <c r="Q8" s="335"/>
      <c r="R8" s="337"/>
      <c r="S8" s="332"/>
      <c r="T8" s="334"/>
      <c r="U8" s="338"/>
      <c r="V8" s="332"/>
      <c r="W8" s="335"/>
      <c r="X8" s="337"/>
      <c r="Y8" s="332"/>
      <c r="Z8" s="339"/>
      <c r="AA8" s="339"/>
      <c r="AB8" s="336"/>
    </row>
    <row r="9" spans="2:28" s="1" customFormat="1" ht="12.75">
      <c r="B9" s="1268" t="s">
        <v>140</v>
      </c>
      <c r="C9" s="1380"/>
      <c r="D9" s="1259">
        <v>35</v>
      </c>
      <c r="E9" s="1262">
        <f>D9/$D$84</f>
        <v>0.044929396662387676</v>
      </c>
      <c r="F9" s="1259">
        <v>9</v>
      </c>
      <c r="G9" s="1262">
        <f>F9/D9</f>
        <v>0.2571428571428571</v>
      </c>
      <c r="H9" s="1376">
        <f>(2*K5)+(3*M5)+(2*N5)+(2*P5)</f>
        <v>2184.72</v>
      </c>
      <c r="I9" s="1238">
        <f>H9/H84</f>
        <v>0.04136816859622938</v>
      </c>
      <c r="J9" s="1356">
        <f>H9/D9</f>
        <v>62.42057142857142</v>
      </c>
      <c r="K9" s="365">
        <v>248</v>
      </c>
      <c r="L9" s="432"/>
      <c r="M9" s="320">
        <v>393</v>
      </c>
      <c r="N9" s="320">
        <v>947</v>
      </c>
      <c r="O9" s="320"/>
      <c r="P9" s="321">
        <v>969</v>
      </c>
      <c r="Q9" s="321"/>
      <c r="R9" s="323"/>
      <c r="S9" s="318"/>
      <c r="T9" s="320"/>
      <c r="U9" s="324"/>
      <c r="V9" s="318"/>
      <c r="W9" s="321"/>
      <c r="X9" s="323"/>
      <c r="Y9" s="318"/>
      <c r="Z9" s="319"/>
      <c r="AA9" s="319"/>
      <c r="AB9" s="322"/>
    </row>
    <row r="10" spans="2:28" s="1" customFormat="1" ht="12.75">
      <c r="B10" s="1270"/>
      <c r="C10" s="1381"/>
      <c r="D10" s="1260"/>
      <c r="E10" s="1263"/>
      <c r="F10" s="1260"/>
      <c r="G10" s="1263"/>
      <c r="H10" s="1383"/>
      <c r="I10" s="1239"/>
      <c r="J10" s="1357"/>
      <c r="K10" s="394">
        <v>113</v>
      </c>
      <c r="L10" s="376"/>
      <c r="M10" s="355">
        <v>736</v>
      </c>
      <c r="N10" s="355">
        <v>741</v>
      </c>
      <c r="O10" s="355"/>
      <c r="P10" s="356">
        <v>728</v>
      </c>
      <c r="Q10" s="356"/>
      <c r="R10" s="358"/>
      <c r="S10" s="354"/>
      <c r="T10" s="355"/>
      <c r="U10" s="359"/>
      <c r="V10" s="354"/>
      <c r="W10" s="356"/>
      <c r="X10" s="358"/>
      <c r="Y10" s="354"/>
      <c r="Z10" s="362"/>
      <c r="AA10" s="362"/>
      <c r="AB10" s="357"/>
    </row>
    <row r="11" spans="2:28" s="1" customFormat="1" ht="13.5" thickBot="1">
      <c r="B11" s="1272"/>
      <c r="C11" s="1382"/>
      <c r="D11" s="1261"/>
      <c r="E11" s="1264"/>
      <c r="F11" s="1261"/>
      <c r="G11" s="1264"/>
      <c r="H11" s="1377"/>
      <c r="I11" s="1240"/>
      <c r="J11" s="1358"/>
      <c r="K11" s="433"/>
      <c r="L11" s="367"/>
      <c r="M11" s="367">
        <v>667</v>
      </c>
      <c r="N11" s="367"/>
      <c r="O11" s="367"/>
      <c r="P11" s="434"/>
      <c r="Q11" s="434"/>
      <c r="R11" s="370"/>
      <c r="S11" s="433"/>
      <c r="T11" s="367"/>
      <c r="U11" s="369"/>
      <c r="V11" s="433"/>
      <c r="W11" s="434"/>
      <c r="X11" s="370"/>
      <c r="Y11" s="433"/>
      <c r="Z11" s="367"/>
      <c r="AA11" s="367"/>
      <c r="AB11" s="369"/>
    </row>
    <row r="12" spans="1:28" s="6" customFormat="1" ht="12.75">
      <c r="A12" s="1"/>
      <c r="B12" s="1270" t="s">
        <v>141</v>
      </c>
      <c r="C12" s="1271"/>
      <c r="D12" s="1275">
        <v>60</v>
      </c>
      <c r="E12" s="1263">
        <f>D12/$D$84</f>
        <v>0.07702182284980745</v>
      </c>
      <c r="F12" s="1259">
        <v>17</v>
      </c>
      <c r="G12" s="1262">
        <f>F12/D12</f>
        <v>0.2833333333333333</v>
      </c>
      <c r="H12" s="1363">
        <f>(2*K5)+(6*M5)+(1*N5)+(1*P5)+(1*R5)+(1*T5)+(1*V5)+(3*Z5)+(1*AB5)</f>
        <v>4226.99</v>
      </c>
      <c r="I12" s="1238">
        <f>H12/H84</f>
        <v>0.08003901414120602</v>
      </c>
      <c r="J12" s="1356">
        <f>H12/D12</f>
        <v>70.44983333333333</v>
      </c>
      <c r="K12" s="349">
        <v>758</v>
      </c>
      <c r="L12" s="350"/>
      <c r="M12" s="350">
        <v>146</v>
      </c>
      <c r="N12" s="350">
        <v>149</v>
      </c>
      <c r="O12" s="350"/>
      <c r="P12" s="351">
        <v>618</v>
      </c>
      <c r="Q12" s="351"/>
      <c r="R12" s="353">
        <v>110</v>
      </c>
      <c r="S12" s="349"/>
      <c r="T12" s="350">
        <v>285</v>
      </c>
      <c r="U12" s="352"/>
      <c r="V12" s="349">
        <v>623</v>
      </c>
      <c r="W12" s="351"/>
      <c r="X12" s="353"/>
      <c r="Y12" s="349"/>
      <c r="Z12" s="350">
        <v>787</v>
      </c>
      <c r="AA12" s="350"/>
      <c r="AB12" s="352">
        <v>333</v>
      </c>
    </row>
    <row r="13" spans="1:28" s="6" customFormat="1" ht="12.75">
      <c r="A13" s="1"/>
      <c r="B13" s="1270"/>
      <c r="C13" s="1271"/>
      <c r="D13" s="1275"/>
      <c r="E13" s="1263"/>
      <c r="F13" s="1260"/>
      <c r="G13" s="1263"/>
      <c r="H13" s="1364"/>
      <c r="I13" s="1239"/>
      <c r="J13" s="1357"/>
      <c r="K13" s="354">
        <v>61</v>
      </c>
      <c r="L13" s="355"/>
      <c r="M13" s="355">
        <v>543</v>
      </c>
      <c r="N13" s="355"/>
      <c r="O13" s="355"/>
      <c r="P13" s="356"/>
      <c r="Q13" s="356"/>
      <c r="R13" s="358"/>
      <c r="S13" s="354"/>
      <c r="T13" s="355"/>
      <c r="U13" s="359"/>
      <c r="V13" s="360"/>
      <c r="W13" s="361"/>
      <c r="X13" s="358"/>
      <c r="Y13" s="354"/>
      <c r="Z13" s="355">
        <v>73</v>
      </c>
      <c r="AA13" s="355"/>
      <c r="AB13" s="357"/>
    </row>
    <row r="14" spans="1:28" s="6" customFormat="1" ht="12.75">
      <c r="A14" s="1"/>
      <c r="B14" s="1270"/>
      <c r="C14" s="1271"/>
      <c r="D14" s="1275"/>
      <c r="E14" s="1263"/>
      <c r="F14" s="1260"/>
      <c r="G14" s="1263"/>
      <c r="H14" s="1364"/>
      <c r="I14" s="1239"/>
      <c r="J14" s="1357"/>
      <c r="K14" s="354"/>
      <c r="L14" s="355"/>
      <c r="M14" s="355">
        <v>654</v>
      </c>
      <c r="N14" s="355"/>
      <c r="O14" s="355"/>
      <c r="P14" s="356"/>
      <c r="Q14" s="356"/>
      <c r="R14" s="358"/>
      <c r="S14" s="354"/>
      <c r="T14" s="355"/>
      <c r="U14" s="359"/>
      <c r="V14" s="360"/>
      <c r="W14" s="361"/>
      <c r="X14" s="358"/>
      <c r="Y14" s="354"/>
      <c r="Z14" s="355">
        <v>51</v>
      </c>
      <c r="AA14" s="355"/>
      <c r="AB14" s="357"/>
    </row>
    <row r="15" spans="1:28" s="6" customFormat="1" ht="12.75">
      <c r="A15" s="1"/>
      <c r="B15" s="1270"/>
      <c r="C15" s="1271"/>
      <c r="D15" s="1275"/>
      <c r="E15" s="1263"/>
      <c r="F15" s="1260"/>
      <c r="G15" s="1263"/>
      <c r="H15" s="1364"/>
      <c r="I15" s="1239"/>
      <c r="J15" s="1357"/>
      <c r="K15" s="354"/>
      <c r="L15" s="355"/>
      <c r="M15" s="355">
        <v>907</v>
      </c>
      <c r="N15" s="355"/>
      <c r="O15" s="355"/>
      <c r="P15" s="356"/>
      <c r="Q15" s="356"/>
      <c r="R15" s="358"/>
      <c r="S15" s="354"/>
      <c r="T15" s="355"/>
      <c r="U15" s="359"/>
      <c r="V15" s="360"/>
      <c r="W15" s="361"/>
      <c r="X15" s="358"/>
      <c r="Y15" s="354"/>
      <c r="Z15" s="355"/>
      <c r="AA15" s="355"/>
      <c r="AB15" s="357"/>
    </row>
    <row r="16" spans="1:28" s="6" customFormat="1" ht="12.75">
      <c r="A16" s="1"/>
      <c r="B16" s="1270"/>
      <c r="C16" s="1271"/>
      <c r="D16" s="1275"/>
      <c r="E16" s="1263"/>
      <c r="F16" s="1260"/>
      <c r="G16" s="1263"/>
      <c r="H16" s="1364"/>
      <c r="I16" s="1239"/>
      <c r="J16" s="1357"/>
      <c r="K16" s="354"/>
      <c r="L16" s="355"/>
      <c r="M16" s="355">
        <v>819</v>
      </c>
      <c r="N16" s="355"/>
      <c r="O16" s="355"/>
      <c r="P16" s="356"/>
      <c r="Q16" s="356"/>
      <c r="R16" s="358"/>
      <c r="S16" s="354"/>
      <c r="T16" s="355"/>
      <c r="U16" s="359"/>
      <c r="V16" s="360"/>
      <c r="W16" s="361"/>
      <c r="X16" s="358"/>
      <c r="Y16" s="354"/>
      <c r="Z16" s="355"/>
      <c r="AA16" s="355"/>
      <c r="AB16" s="357"/>
    </row>
    <row r="17" spans="1:28" s="6" customFormat="1" ht="13.5" thickBot="1">
      <c r="A17" s="1"/>
      <c r="B17" s="1270"/>
      <c r="C17" s="1271"/>
      <c r="D17" s="1275"/>
      <c r="E17" s="1263"/>
      <c r="F17" s="1261"/>
      <c r="G17" s="1264"/>
      <c r="H17" s="1365"/>
      <c r="I17" s="1240"/>
      <c r="J17" s="1358"/>
      <c r="K17" s="354"/>
      <c r="L17" s="355"/>
      <c r="M17" s="355">
        <v>467</v>
      </c>
      <c r="N17" s="355"/>
      <c r="O17" s="355"/>
      <c r="P17" s="356"/>
      <c r="Q17" s="356"/>
      <c r="R17" s="358"/>
      <c r="S17" s="354"/>
      <c r="T17" s="362"/>
      <c r="U17" s="357"/>
      <c r="V17" s="354"/>
      <c r="W17" s="356"/>
      <c r="X17" s="358"/>
      <c r="Y17" s="354"/>
      <c r="Z17" s="362"/>
      <c r="AA17" s="362"/>
      <c r="AB17" s="357"/>
    </row>
    <row r="18" spans="1:28" s="6" customFormat="1" ht="14.25" customHeight="1">
      <c r="A18" s="1"/>
      <c r="B18" s="1268" t="s">
        <v>142</v>
      </c>
      <c r="C18" s="1269"/>
      <c r="D18" s="1259">
        <v>17</v>
      </c>
      <c r="E18" s="1318">
        <f>D18/$D$84</f>
        <v>0.021822849807445442</v>
      </c>
      <c r="F18" s="1274">
        <v>6</v>
      </c>
      <c r="G18" s="1262">
        <f>F18/D18</f>
        <v>0.35294117647058826</v>
      </c>
      <c r="H18" s="1378">
        <f>(1*K5)+(1*P5)+(1*T5)+(2*X5)+(1*Z5)</f>
        <v>1119.95</v>
      </c>
      <c r="I18" s="1316">
        <f>H18/H84</f>
        <v>0.02120650720428572</v>
      </c>
      <c r="J18" s="1356">
        <f>H18/D18</f>
        <v>65.87941176470588</v>
      </c>
      <c r="K18" s="363">
        <v>525</v>
      </c>
      <c r="L18" s="319"/>
      <c r="M18" s="319"/>
      <c r="N18" s="364"/>
      <c r="O18" s="319"/>
      <c r="P18" s="364">
        <v>334</v>
      </c>
      <c r="Q18" s="322"/>
      <c r="R18" s="323"/>
      <c r="S18" s="364"/>
      <c r="T18" s="319">
        <v>884</v>
      </c>
      <c r="U18" s="364"/>
      <c r="V18" s="365"/>
      <c r="W18" s="364"/>
      <c r="X18" s="323">
        <v>752</v>
      </c>
      <c r="Y18" s="364"/>
      <c r="Z18" s="319">
        <v>392</v>
      </c>
      <c r="AA18" s="321"/>
      <c r="AB18" s="322"/>
    </row>
    <row r="19" spans="1:28" s="6" customFormat="1" ht="14.25" customHeight="1" thickBot="1">
      <c r="A19" s="1"/>
      <c r="B19" s="1272"/>
      <c r="C19" s="1273"/>
      <c r="D19" s="1261"/>
      <c r="E19" s="1319"/>
      <c r="F19" s="1276"/>
      <c r="G19" s="1264"/>
      <c r="H19" s="1379"/>
      <c r="I19" s="1317"/>
      <c r="J19" s="1358"/>
      <c r="K19" s="366"/>
      <c r="L19" s="367"/>
      <c r="M19" s="367"/>
      <c r="N19" s="368"/>
      <c r="O19" s="367"/>
      <c r="P19" s="368"/>
      <c r="Q19" s="369"/>
      <c r="R19" s="370"/>
      <c r="S19" s="368"/>
      <c r="T19" s="339"/>
      <c r="U19" s="368"/>
      <c r="V19" s="371"/>
      <c r="W19" s="368"/>
      <c r="X19" s="370">
        <v>558</v>
      </c>
      <c r="Y19" s="368"/>
      <c r="Z19" s="367"/>
      <c r="AA19" s="373"/>
      <c r="AB19" s="369"/>
    </row>
    <row r="20" spans="1:28" s="6" customFormat="1" ht="12.75">
      <c r="A20" s="1"/>
      <c r="B20" s="1270" t="s">
        <v>143</v>
      </c>
      <c r="C20" s="1271"/>
      <c r="D20" s="1275">
        <v>28</v>
      </c>
      <c r="E20" s="1263">
        <f>D20/$D$84</f>
        <v>0.03594351732991014</v>
      </c>
      <c r="F20" s="1260">
        <v>9</v>
      </c>
      <c r="G20" s="1263">
        <f>F20/D20</f>
        <v>0.32142857142857145</v>
      </c>
      <c r="H20" s="1364">
        <f>(2*K5)+(1*L5)+(1*M5)+(1*P5)+(1*S5)+(1*T5)+(1*W5)+(1*X5)</f>
        <v>2041.0800000000002</v>
      </c>
      <c r="I20" s="1239">
        <f>H20/H84</f>
        <v>0.038648312625138175</v>
      </c>
      <c r="J20" s="1356">
        <f>H20/D20</f>
        <v>72.89571428571429</v>
      </c>
      <c r="K20" s="349">
        <v>577</v>
      </c>
      <c r="L20" s="350">
        <v>941</v>
      </c>
      <c r="M20" s="350"/>
      <c r="N20" s="350"/>
      <c r="O20" s="350"/>
      <c r="P20" s="351">
        <v>388</v>
      </c>
      <c r="Q20" s="351"/>
      <c r="R20" s="353"/>
      <c r="S20" s="349">
        <v>616</v>
      </c>
      <c r="T20" s="350"/>
      <c r="U20" s="352"/>
      <c r="V20" s="349"/>
      <c r="W20" s="351"/>
      <c r="X20" s="353">
        <v>366</v>
      </c>
      <c r="Y20" s="349"/>
      <c r="Z20" s="350"/>
      <c r="AA20" s="350"/>
      <c r="AB20" s="352"/>
    </row>
    <row r="21" spans="1:28" s="6" customFormat="1" ht="12.75">
      <c r="A21" s="1"/>
      <c r="B21" s="1270"/>
      <c r="C21" s="1271"/>
      <c r="D21" s="1275"/>
      <c r="E21" s="1263"/>
      <c r="F21" s="1260"/>
      <c r="G21" s="1263"/>
      <c r="H21" s="1364"/>
      <c r="I21" s="1239"/>
      <c r="J21" s="1357"/>
      <c r="K21" s="349">
        <v>131</v>
      </c>
      <c r="L21" s="350"/>
      <c r="M21" s="350">
        <v>197</v>
      </c>
      <c r="N21" s="350"/>
      <c r="O21" s="350"/>
      <c r="P21" s="351"/>
      <c r="Q21" s="351"/>
      <c r="R21" s="353"/>
      <c r="S21" s="349"/>
      <c r="T21" s="350"/>
      <c r="U21" s="352"/>
      <c r="V21" s="349"/>
      <c r="W21" s="374">
        <v>28</v>
      </c>
      <c r="X21" s="353"/>
      <c r="Y21" s="349"/>
      <c r="Z21" s="350"/>
      <c r="AA21" s="350"/>
      <c r="AB21" s="352"/>
    </row>
    <row r="22" spans="1:28" s="6" customFormat="1" ht="13.5" thickBot="1">
      <c r="A22" s="1"/>
      <c r="B22" s="1270"/>
      <c r="C22" s="1271"/>
      <c r="D22" s="1275"/>
      <c r="E22" s="1263"/>
      <c r="F22" s="1260"/>
      <c r="G22" s="1263"/>
      <c r="H22" s="1364"/>
      <c r="I22" s="1239"/>
      <c r="J22" s="1358"/>
      <c r="K22" s="392"/>
      <c r="L22" s="333"/>
      <c r="M22" s="339"/>
      <c r="N22" s="339"/>
      <c r="O22" s="339"/>
      <c r="P22" s="335"/>
      <c r="Q22" s="335"/>
      <c r="R22" s="337"/>
      <c r="S22" s="332"/>
      <c r="T22" s="339">
        <v>610</v>
      </c>
      <c r="U22" s="336"/>
      <c r="V22" s="332"/>
      <c r="W22" s="335"/>
      <c r="X22" s="337"/>
      <c r="Y22" s="332"/>
      <c r="Z22" s="339"/>
      <c r="AA22" s="339"/>
      <c r="AB22" s="336"/>
    </row>
    <row r="23" spans="2:28" s="1" customFormat="1" ht="12.75">
      <c r="B23" s="1268" t="s">
        <v>144</v>
      </c>
      <c r="C23" s="1269"/>
      <c r="D23" s="1274">
        <v>33</v>
      </c>
      <c r="E23" s="1262">
        <f>D23/$D$84</f>
        <v>0.04236200256739409</v>
      </c>
      <c r="F23" s="1304">
        <v>6</v>
      </c>
      <c r="G23" s="1262">
        <f>F23/D23</f>
        <v>0.18181818181818182</v>
      </c>
      <c r="H23" s="1363">
        <f>(4*K5)+(1*R5)+(1*Y5)</f>
        <v>2516.5</v>
      </c>
      <c r="I23" s="1238">
        <f>H23/H84</f>
        <v>0.04765049812901023</v>
      </c>
      <c r="J23" s="1356">
        <f>H23/D23</f>
        <v>76.25757575757575</v>
      </c>
      <c r="K23" s="349"/>
      <c r="L23" s="350"/>
      <c r="M23" s="350"/>
      <c r="N23" s="350"/>
      <c r="O23" s="350"/>
      <c r="P23" s="374">
        <v>344</v>
      </c>
      <c r="Q23" s="351"/>
      <c r="R23" s="353"/>
      <c r="S23" s="349"/>
      <c r="T23" s="350"/>
      <c r="U23" s="352"/>
      <c r="V23" s="349"/>
      <c r="W23" s="351"/>
      <c r="X23" s="353"/>
      <c r="Y23" s="349">
        <v>274</v>
      </c>
      <c r="Z23" s="350"/>
      <c r="AA23" s="350"/>
      <c r="AB23" s="352"/>
    </row>
    <row r="24" spans="2:28" s="1" customFormat="1" ht="12.75">
      <c r="B24" s="1270"/>
      <c r="C24" s="1271"/>
      <c r="D24" s="1275"/>
      <c r="E24" s="1263"/>
      <c r="F24" s="1305"/>
      <c r="G24" s="1263"/>
      <c r="H24" s="1364"/>
      <c r="I24" s="1239"/>
      <c r="J24" s="1357"/>
      <c r="K24" s="349">
        <v>115</v>
      </c>
      <c r="L24" s="350"/>
      <c r="M24" s="350"/>
      <c r="N24" s="350"/>
      <c r="O24" s="350"/>
      <c r="P24" s="351"/>
      <c r="Q24" s="351"/>
      <c r="R24" s="353"/>
      <c r="S24" s="349"/>
      <c r="T24" s="350"/>
      <c r="U24" s="352"/>
      <c r="V24" s="349"/>
      <c r="W24" s="351"/>
      <c r="X24" s="353"/>
      <c r="Y24" s="349"/>
      <c r="Z24" s="350"/>
      <c r="AA24" s="350"/>
      <c r="AB24" s="352"/>
    </row>
    <row r="25" spans="2:28" s="1" customFormat="1" ht="12.75">
      <c r="B25" s="1270"/>
      <c r="C25" s="1271"/>
      <c r="D25" s="1275"/>
      <c r="E25" s="1263"/>
      <c r="F25" s="1305"/>
      <c r="G25" s="1263"/>
      <c r="H25" s="1364"/>
      <c r="I25" s="1239"/>
      <c r="J25" s="1357"/>
      <c r="K25" s="349"/>
      <c r="L25" s="350"/>
      <c r="M25" s="350"/>
      <c r="N25" s="350"/>
      <c r="O25" s="350"/>
      <c r="P25" s="351"/>
      <c r="Q25" s="351"/>
      <c r="R25" s="353">
        <v>765</v>
      </c>
      <c r="S25" s="349"/>
      <c r="T25" s="350"/>
      <c r="U25" s="352"/>
      <c r="V25" s="349"/>
      <c r="W25" s="351"/>
      <c r="X25" s="353"/>
      <c r="Y25" s="349"/>
      <c r="Z25" s="350"/>
      <c r="AA25" s="350"/>
      <c r="AB25" s="352"/>
    </row>
    <row r="26" spans="2:28" s="1" customFormat="1" ht="12.75">
      <c r="B26" s="1270"/>
      <c r="C26" s="1271"/>
      <c r="D26" s="1275"/>
      <c r="E26" s="1263"/>
      <c r="F26" s="1305"/>
      <c r="G26" s="1263"/>
      <c r="H26" s="1364"/>
      <c r="I26" s="1239"/>
      <c r="J26" s="1357"/>
      <c r="K26" s="349">
        <v>138</v>
      </c>
      <c r="L26" s="350"/>
      <c r="M26" s="350"/>
      <c r="N26" s="350"/>
      <c r="O26" s="350"/>
      <c r="P26" s="351"/>
      <c r="Q26" s="351"/>
      <c r="R26" s="353"/>
      <c r="S26" s="349"/>
      <c r="T26" s="350"/>
      <c r="U26" s="352"/>
      <c r="V26" s="349"/>
      <c r="W26" s="351"/>
      <c r="X26" s="353"/>
      <c r="Y26" s="349"/>
      <c r="Z26" s="350"/>
      <c r="AA26" s="350"/>
      <c r="AB26" s="352"/>
    </row>
    <row r="27" spans="2:28" s="1" customFormat="1" ht="12.75">
      <c r="B27" s="1270"/>
      <c r="C27" s="1271"/>
      <c r="D27" s="1275"/>
      <c r="E27" s="1263"/>
      <c r="F27" s="1305"/>
      <c r="G27" s="1263"/>
      <c r="H27" s="1364"/>
      <c r="I27" s="1239"/>
      <c r="J27" s="1357"/>
      <c r="K27" s="349">
        <v>792</v>
      </c>
      <c r="L27" s="350"/>
      <c r="M27" s="350"/>
      <c r="N27" s="350"/>
      <c r="O27" s="350"/>
      <c r="P27" s="351"/>
      <c r="Q27" s="351"/>
      <c r="R27" s="353"/>
      <c r="S27" s="349"/>
      <c r="T27" s="350"/>
      <c r="U27" s="352"/>
      <c r="V27" s="349"/>
      <c r="W27" s="351"/>
      <c r="X27" s="353"/>
      <c r="Y27" s="349"/>
      <c r="Z27" s="350"/>
      <c r="AA27" s="350"/>
      <c r="AB27" s="352"/>
    </row>
    <row r="28" spans="2:28" s="1" customFormat="1" ht="13.5" thickBot="1">
      <c r="B28" s="1270"/>
      <c r="C28" s="1271"/>
      <c r="D28" s="1275"/>
      <c r="E28" s="1263"/>
      <c r="F28" s="1306"/>
      <c r="G28" s="1263"/>
      <c r="H28" s="1364"/>
      <c r="I28" s="1239"/>
      <c r="J28" s="1358"/>
      <c r="K28" s="354">
        <v>328</v>
      </c>
      <c r="L28" s="362"/>
      <c r="M28" s="362"/>
      <c r="N28" s="362"/>
      <c r="O28" s="362"/>
      <c r="P28" s="356"/>
      <c r="Q28" s="356"/>
      <c r="R28" s="358"/>
      <c r="S28" s="354"/>
      <c r="T28" s="362"/>
      <c r="U28" s="357"/>
      <c r="V28" s="354"/>
      <c r="W28" s="356"/>
      <c r="X28" s="358"/>
      <c r="Y28" s="354"/>
      <c r="Z28" s="362"/>
      <c r="AA28" s="362"/>
      <c r="AB28" s="357"/>
    </row>
    <row r="29" spans="1:29" s="6" customFormat="1" ht="12.75">
      <c r="A29" s="1"/>
      <c r="B29" s="1314" t="s">
        <v>145</v>
      </c>
      <c r="C29" s="1268"/>
      <c r="D29" s="1274">
        <v>43</v>
      </c>
      <c r="E29" s="1262">
        <f>D29/$D$84</f>
        <v>0.055198973042362</v>
      </c>
      <c r="F29" s="1259">
        <v>9</v>
      </c>
      <c r="G29" s="1262">
        <f>F29/D29</f>
        <v>0.20930232558139536</v>
      </c>
      <c r="H29" s="1363">
        <f>(3*K5)+(2*L5)+(1*M5)+(1*P5)+(1*T5)+(1*Y5)</f>
        <v>2532.52</v>
      </c>
      <c r="I29" s="1238">
        <f>H29/H84</f>
        <v>0.04795384046162567</v>
      </c>
      <c r="J29" s="1356">
        <f>H29/D29</f>
        <v>58.89581395348837</v>
      </c>
      <c r="K29" s="318">
        <v>546</v>
      </c>
      <c r="L29" s="319">
        <v>650</v>
      </c>
      <c r="M29" s="435" t="s">
        <v>169</v>
      </c>
      <c r="N29" s="319"/>
      <c r="O29" s="319"/>
      <c r="P29" s="321">
        <v>119</v>
      </c>
      <c r="Q29" s="321"/>
      <c r="R29" s="323"/>
      <c r="S29" s="318"/>
      <c r="T29" s="319">
        <v>504</v>
      </c>
      <c r="U29" s="322"/>
      <c r="V29" s="318"/>
      <c r="W29" s="321"/>
      <c r="X29" s="323"/>
      <c r="Y29" s="318">
        <v>194</v>
      </c>
      <c r="Z29" s="319"/>
      <c r="AA29" s="319"/>
      <c r="AB29" s="322"/>
      <c r="AC29" s="1311"/>
    </row>
    <row r="30" spans="2:29" s="1" customFormat="1" ht="12.75">
      <c r="B30" s="1315"/>
      <c r="C30" s="1270"/>
      <c r="D30" s="1275"/>
      <c r="E30" s="1263"/>
      <c r="F30" s="1260"/>
      <c r="G30" s="1263"/>
      <c r="H30" s="1364"/>
      <c r="I30" s="1239"/>
      <c r="J30" s="1357"/>
      <c r="K30" s="354">
        <v>958</v>
      </c>
      <c r="L30" s="362">
        <v>596</v>
      </c>
      <c r="M30" s="362"/>
      <c r="N30" s="362"/>
      <c r="O30" s="362"/>
      <c r="P30" s="356"/>
      <c r="Q30" s="356"/>
      <c r="R30" s="358"/>
      <c r="S30" s="354"/>
      <c r="T30" s="362"/>
      <c r="U30" s="357"/>
      <c r="V30" s="354"/>
      <c r="W30" s="356"/>
      <c r="X30" s="358"/>
      <c r="Y30" s="354"/>
      <c r="Z30" s="362"/>
      <c r="AA30" s="362"/>
      <c r="AB30" s="357"/>
      <c r="AC30" s="1311"/>
    </row>
    <row r="31" spans="2:29" s="1" customFormat="1" ht="13.5" thickBot="1">
      <c r="B31" s="1315"/>
      <c r="C31" s="1270"/>
      <c r="D31" s="1275"/>
      <c r="E31" s="1263"/>
      <c r="F31" s="1260"/>
      <c r="G31" s="1263"/>
      <c r="H31" s="1364"/>
      <c r="I31" s="1239"/>
      <c r="J31" s="1358"/>
      <c r="K31" s="436" t="s">
        <v>170</v>
      </c>
      <c r="L31" s="379"/>
      <c r="M31" s="379"/>
      <c r="N31" s="379"/>
      <c r="O31" s="379"/>
      <c r="P31" s="380"/>
      <c r="Q31" s="380"/>
      <c r="R31" s="382"/>
      <c r="S31" s="377"/>
      <c r="T31" s="379"/>
      <c r="U31" s="381"/>
      <c r="V31" s="377"/>
      <c r="W31" s="380"/>
      <c r="X31" s="382"/>
      <c r="Y31" s="377"/>
      <c r="Z31" s="379"/>
      <c r="AA31" s="379"/>
      <c r="AB31" s="381"/>
      <c r="AC31" s="1311"/>
    </row>
    <row r="32" spans="2:29" s="1" customFormat="1" ht="12.75">
      <c r="B32" s="1372" t="s">
        <v>146</v>
      </c>
      <c r="C32" s="1373"/>
      <c r="D32" s="1259">
        <v>20</v>
      </c>
      <c r="E32" s="1262">
        <f>D32/$D$84</f>
        <v>0.025673940949935817</v>
      </c>
      <c r="F32" s="1259">
        <v>7</v>
      </c>
      <c r="G32" s="1262">
        <f>F32/D32</f>
        <v>0.35</v>
      </c>
      <c r="H32" s="1376">
        <f>(1*K5)+(2*L5)+(1*R5)+(1*V5)+(1*Z5)+(1*AB5)</f>
        <v>2191.13</v>
      </c>
      <c r="I32" s="1238">
        <f>H32/H84</f>
        <v>0.041489543399729066</v>
      </c>
      <c r="J32" s="1356">
        <f>H32/D32</f>
        <v>109.5565</v>
      </c>
      <c r="K32" s="437" t="s">
        <v>171</v>
      </c>
      <c r="L32" s="319">
        <v>370</v>
      </c>
      <c r="M32" s="319"/>
      <c r="N32" s="319"/>
      <c r="O32" s="319"/>
      <c r="P32" s="321"/>
      <c r="Q32" s="321"/>
      <c r="R32" s="323">
        <v>120</v>
      </c>
      <c r="S32" s="318"/>
      <c r="T32" s="319"/>
      <c r="U32" s="322"/>
      <c r="V32" s="318">
        <v>524</v>
      </c>
      <c r="W32" s="321"/>
      <c r="X32" s="323"/>
      <c r="Y32" s="318"/>
      <c r="Z32" s="319">
        <v>627</v>
      </c>
      <c r="AA32" s="319"/>
      <c r="AB32" s="322">
        <v>524</v>
      </c>
      <c r="AC32" s="385"/>
    </row>
    <row r="33" spans="2:28" s="1" customFormat="1" ht="13.5" thickBot="1">
      <c r="B33" s="1374"/>
      <c r="C33" s="1375"/>
      <c r="D33" s="1261"/>
      <c r="E33" s="1264"/>
      <c r="F33" s="1261"/>
      <c r="G33" s="1264"/>
      <c r="H33" s="1377"/>
      <c r="I33" s="1240"/>
      <c r="J33" s="1358"/>
      <c r="K33" s="349"/>
      <c r="L33" s="350">
        <v>386</v>
      </c>
      <c r="M33" s="350"/>
      <c r="N33" s="350"/>
      <c r="O33" s="350"/>
      <c r="P33" s="351"/>
      <c r="Q33" s="351"/>
      <c r="R33" s="353"/>
      <c r="S33" s="349"/>
      <c r="T33" s="350"/>
      <c r="U33" s="351"/>
      <c r="V33" s="438"/>
      <c r="W33" s="352"/>
      <c r="X33" s="353"/>
      <c r="Y33" s="349"/>
      <c r="Z33" s="350"/>
      <c r="AA33" s="350"/>
      <c r="AB33" s="352"/>
    </row>
    <row r="34" spans="1:28" s="6" customFormat="1" ht="12.75">
      <c r="A34" s="1"/>
      <c r="B34" s="1268" t="s">
        <v>147</v>
      </c>
      <c r="C34" s="1269"/>
      <c r="D34" s="1274">
        <v>22</v>
      </c>
      <c r="E34" s="1262">
        <f>D34/$D$84</f>
        <v>0.028241335044929396</v>
      </c>
      <c r="F34" s="1259">
        <v>6</v>
      </c>
      <c r="G34" s="1262">
        <f>F34/D34</f>
        <v>0.2727272727272727</v>
      </c>
      <c r="H34" s="1363">
        <f>(1*K5)+(2*M5)+(2*R5)+(1*AB5)</f>
        <v>2551.88</v>
      </c>
      <c r="I34" s="1238">
        <f>H34/H84</f>
        <v>0.04832042645160288</v>
      </c>
      <c r="J34" s="1356">
        <f>H34/D34</f>
        <v>115.99454545454546</v>
      </c>
      <c r="K34" s="318">
        <v>410</v>
      </c>
      <c r="L34" s="319"/>
      <c r="M34" s="319">
        <v>298</v>
      </c>
      <c r="N34" s="319"/>
      <c r="O34" s="319"/>
      <c r="P34" s="321"/>
      <c r="Q34" s="321"/>
      <c r="R34" s="323">
        <v>314</v>
      </c>
      <c r="S34" s="318"/>
      <c r="T34" s="319"/>
      <c r="U34" s="321"/>
      <c r="V34" s="365"/>
      <c r="W34" s="322"/>
      <c r="X34" s="323"/>
      <c r="Y34" s="318"/>
      <c r="Z34" s="319"/>
      <c r="AA34" s="319"/>
      <c r="AB34" s="322">
        <v>379</v>
      </c>
    </row>
    <row r="35" spans="1:28" s="6" customFormat="1" ht="13.5" thickBot="1">
      <c r="A35" s="1"/>
      <c r="B35" s="1272"/>
      <c r="C35" s="1273"/>
      <c r="D35" s="1276"/>
      <c r="E35" s="1264"/>
      <c r="F35" s="1261"/>
      <c r="G35" s="1264"/>
      <c r="H35" s="1365"/>
      <c r="I35" s="1240"/>
      <c r="J35" s="1358"/>
      <c r="K35" s="332"/>
      <c r="L35" s="339"/>
      <c r="M35" s="339">
        <v>250</v>
      </c>
      <c r="N35" s="339"/>
      <c r="O35" s="339"/>
      <c r="P35" s="335"/>
      <c r="Q35" s="335"/>
      <c r="R35" s="337">
        <v>442</v>
      </c>
      <c r="S35" s="332"/>
      <c r="T35" s="339"/>
      <c r="U35" s="335"/>
      <c r="V35" s="392"/>
      <c r="W35" s="336"/>
      <c r="X35" s="337"/>
      <c r="Y35" s="332"/>
      <c r="Z35" s="339"/>
      <c r="AA35" s="339"/>
      <c r="AB35" s="336">
        <v>191</v>
      </c>
    </row>
    <row r="36" spans="2:28" s="1" customFormat="1" ht="12.75">
      <c r="B36" s="1289" t="s">
        <v>148</v>
      </c>
      <c r="C36" s="1290"/>
      <c r="D36" s="1291">
        <v>34</v>
      </c>
      <c r="E36" s="1310">
        <f>D36/$D$84</f>
        <v>0.043645699614890884</v>
      </c>
      <c r="F36" s="1259">
        <v>7</v>
      </c>
      <c r="G36" s="1262">
        <f>F36/D36</f>
        <v>0.20588235294117646</v>
      </c>
      <c r="H36" s="1363">
        <f>(3*K5)+(1*N5)+(1*P5)+(1*T5)+(1*W5)</f>
        <v>1838</v>
      </c>
      <c r="I36" s="1238">
        <f>H36/H84</f>
        <v>0.03480294677572852</v>
      </c>
      <c r="J36" s="1356">
        <f>H36/D36</f>
        <v>54.05882352941177</v>
      </c>
      <c r="K36" s="318">
        <v>818</v>
      </c>
      <c r="L36" s="319"/>
      <c r="M36" s="319"/>
      <c r="N36" s="319"/>
      <c r="O36" s="319"/>
      <c r="P36" s="321"/>
      <c r="Q36" s="321"/>
      <c r="R36" s="323"/>
      <c r="S36" s="318"/>
      <c r="T36" s="319"/>
      <c r="U36" s="322"/>
      <c r="V36" s="318"/>
      <c r="W36" s="321"/>
      <c r="X36" s="323"/>
      <c r="Y36" s="318"/>
      <c r="Z36" s="319"/>
      <c r="AA36" s="319"/>
      <c r="AB36" s="322"/>
    </row>
    <row r="37" spans="2:28" s="1" customFormat="1" ht="12.75">
      <c r="B37" s="1247"/>
      <c r="C37" s="1248"/>
      <c r="D37" s="1253"/>
      <c r="E37" s="1256"/>
      <c r="F37" s="1260"/>
      <c r="G37" s="1263"/>
      <c r="H37" s="1364"/>
      <c r="I37" s="1239"/>
      <c r="J37" s="1357"/>
      <c r="K37" s="349">
        <v>439</v>
      </c>
      <c r="L37" s="350"/>
      <c r="M37" s="350"/>
      <c r="N37" s="350"/>
      <c r="O37" s="350"/>
      <c r="P37" s="351"/>
      <c r="Q37" s="351"/>
      <c r="R37" s="353"/>
      <c r="S37" s="349"/>
      <c r="T37" s="350">
        <v>439</v>
      </c>
      <c r="U37" s="352"/>
      <c r="V37" s="349"/>
      <c r="W37" s="351">
        <v>747</v>
      </c>
      <c r="X37" s="353"/>
      <c r="Y37" s="349"/>
      <c r="Z37" s="350"/>
      <c r="AA37" s="350"/>
      <c r="AB37" s="352"/>
    </row>
    <row r="38" spans="2:28" s="1" customFormat="1" ht="13.5" thickBot="1">
      <c r="B38" s="1249"/>
      <c r="C38" s="1250"/>
      <c r="D38" s="1254"/>
      <c r="E38" s="1257"/>
      <c r="F38" s="1261"/>
      <c r="G38" s="1264"/>
      <c r="H38" s="1365"/>
      <c r="I38" s="1240"/>
      <c r="J38" s="1358"/>
      <c r="K38" s="354">
        <v>406</v>
      </c>
      <c r="L38" s="362"/>
      <c r="M38" s="362"/>
      <c r="N38" s="362">
        <v>280</v>
      </c>
      <c r="O38" s="362"/>
      <c r="P38" s="356">
        <v>321</v>
      </c>
      <c r="Q38" s="356"/>
      <c r="R38" s="358"/>
      <c r="S38" s="354"/>
      <c r="T38" s="362"/>
      <c r="U38" s="357"/>
      <c r="V38" s="354"/>
      <c r="W38" s="356"/>
      <c r="X38" s="358"/>
      <c r="Y38" s="354"/>
      <c r="Z38" s="362"/>
      <c r="AA38" s="362"/>
      <c r="AB38" s="357"/>
    </row>
    <row r="39" spans="2:28" s="1" customFormat="1" ht="12.75">
      <c r="B39" s="1268" t="s">
        <v>149</v>
      </c>
      <c r="C39" s="1269"/>
      <c r="D39" s="1274">
        <v>11</v>
      </c>
      <c r="E39" s="1262">
        <f>D39/$D$84</f>
        <v>0.014120667522464698</v>
      </c>
      <c r="F39" s="1259">
        <v>3</v>
      </c>
      <c r="G39" s="1262">
        <f>F39/D39</f>
        <v>0.2727272727272727</v>
      </c>
      <c r="H39" s="1363">
        <f>(1*P5)+(1*T5)+(1*AB5)</f>
        <v>717.7</v>
      </c>
      <c r="I39" s="1238">
        <f>H39/H84</f>
        <v>0.013589812242078541</v>
      </c>
      <c r="J39" s="1369">
        <f>H39/D39</f>
        <v>65.24545454545455</v>
      </c>
      <c r="K39" s="318"/>
      <c r="L39" s="319"/>
      <c r="M39" s="319"/>
      <c r="N39" s="319"/>
      <c r="O39" s="319"/>
      <c r="P39" s="321">
        <v>367</v>
      </c>
      <c r="Q39" s="321"/>
      <c r="R39" s="323"/>
      <c r="S39" s="318"/>
      <c r="T39" s="319">
        <v>563</v>
      </c>
      <c r="U39" s="322"/>
      <c r="V39" s="318"/>
      <c r="W39" s="321"/>
      <c r="X39" s="323"/>
      <c r="Y39" s="318"/>
      <c r="Z39" s="439">
        <v>648</v>
      </c>
      <c r="AA39" s="319"/>
      <c r="AB39" s="322">
        <v>648</v>
      </c>
    </row>
    <row r="40" spans="2:28" s="1" customFormat="1" ht="12.75">
      <c r="B40" s="1270"/>
      <c r="C40" s="1271"/>
      <c r="D40" s="1275"/>
      <c r="E40" s="1263"/>
      <c r="F40" s="1260"/>
      <c r="G40" s="1263"/>
      <c r="H40" s="1364"/>
      <c r="I40" s="1239"/>
      <c r="J40" s="1370"/>
      <c r="K40" s="325"/>
      <c r="L40" s="326"/>
      <c r="M40" s="326"/>
      <c r="N40" s="326"/>
      <c r="O40" s="326"/>
      <c r="P40" s="440">
        <v>374</v>
      </c>
      <c r="Q40" s="328"/>
      <c r="R40" s="330"/>
      <c r="S40" s="325"/>
      <c r="T40" s="326"/>
      <c r="U40" s="329"/>
      <c r="V40" s="325"/>
      <c r="W40" s="328"/>
      <c r="X40" s="330"/>
      <c r="Y40" s="325"/>
      <c r="Z40" s="326"/>
      <c r="AA40" s="326"/>
      <c r="AB40" s="329"/>
    </row>
    <row r="41" spans="2:28" s="1" customFormat="1" ht="13.5" thickBot="1">
      <c r="B41" s="1272"/>
      <c r="C41" s="1273"/>
      <c r="D41" s="1276"/>
      <c r="E41" s="1264"/>
      <c r="F41" s="1261"/>
      <c r="G41" s="1264"/>
      <c r="H41" s="1365"/>
      <c r="I41" s="1240"/>
      <c r="J41" s="1371"/>
      <c r="K41" s="332"/>
      <c r="L41" s="333"/>
      <c r="M41" s="339"/>
      <c r="N41" s="339"/>
      <c r="O41" s="339"/>
      <c r="P41" s="335"/>
      <c r="Q41" s="335"/>
      <c r="R41" s="337"/>
      <c r="S41" s="332"/>
      <c r="T41" s="339"/>
      <c r="U41" s="336"/>
      <c r="V41" s="332"/>
      <c r="W41" s="335"/>
      <c r="X41" s="337"/>
      <c r="Y41" s="332"/>
      <c r="Z41" s="339"/>
      <c r="AA41" s="339"/>
      <c r="AB41" s="336"/>
    </row>
    <row r="42" spans="2:28" s="1" customFormat="1" ht="12.75">
      <c r="B42" s="1292" t="s">
        <v>150</v>
      </c>
      <c r="C42" s="1293"/>
      <c r="D42" s="1298">
        <v>41</v>
      </c>
      <c r="E42" s="1301">
        <f>D42/$D$84</f>
        <v>0.05263157894736842</v>
      </c>
      <c r="F42" s="1304">
        <v>14</v>
      </c>
      <c r="G42" s="1307">
        <f>F42/D42</f>
        <v>0.34146341463414637</v>
      </c>
      <c r="H42" s="1366">
        <f>(1*K5)+(2*L5)+(4*M5)+(1*N5)+(1*O5)+(1*T5)+(2*V5)+(1*Z5)+(1*AA5)</f>
        <v>2848.5400000000004</v>
      </c>
      <c r="I42" s="1286" t="s">
        <v>172</v>
      </c>
      <c r="J42" s="1356">
        <f>H42/D42</f>
        <v>69.47658536585367</v>
      </c>
      <c r="K42" s="441" t="s">
        <v>173</v>
      </c>
      <c r="L42" s="319">
        <v>641</v>
      </c>
      <c r="M42" s="319">
        <v>702</v>
      </c>
      <c r="N42" s="319"/>
      <c r="O42" s="319"/>
      <c r="P42" s="321"/>
      <c r="Q42" s="321"/>
      <c r="R42" s="323"/>
      <c r="S42" s="318"/>
      <c r="T42" s="319"/>
      <c r="U42" s="322"/>
      <c r="V42" s="318"/>
      <c r="W42" s="321"/>
      <c r="X42" s="323"/>
      <c r="Y42" s="318"/>
      <c r="Z42" s="319">
        <v>492</v>
      </c>
      <c r="AA42" s="319"/>
      <c r="AB42" s="322"/>
    </row>
    <row r="43" spans="2:28" s="1" customFormat="1" ht="12.75">
      <c r="B43" s="1294"/>
      <c r="C43" s="1295"/>
      <c r="D43" s="1299"/>
      <c r="E43" s="1302"/>
      <c r="F43" s="1305"/>
      <c r="G43" s="1308"/>
      <c r="H43" s="1367"/>
      <c r="I43" s="1287"/>
      <c r="J43" s="1357"/>
      <c r="K43" s="354"/>
      <c r="L43" s="362">
        <v>590</v>
      </c>
      <c r="M43" s="362">
        <v>192</v>
      </c>
      <c r="N43" s="362"/>
      <c r="O43" s="362"/>
      <c r="P43" s="356"/>
      <c r="Q43" s="356"/>
      <c r="R43" s="358"/>
      <c r="S43" s="354"/>
      <c r="T43" s="362">
        <v>795</v>
      </c>
      <c r="U43" s="357"/>
      <c r="V43" s="354"/>
      <c r="W43" s="356"/>
      <c r="X43" s="358"/>
      <c r="Y43" s="354"/>
      <c r="Z43" s="362"/>
      <c r="AA43" s="362"/>
      <c r="AB43" s="357"/>
    </row>
    <row r="44" spans="2:28" s="1" customFormat="1" ht="12.75">
      <c r="B44" s="1294"/>
      <c r="C44" s="1295"/>
      <c r="D44" s="1299"/>
      <c r="E44" s="1302"/>
      <c r="F44" s="1305"/>
      <c r="G44" s="1308"/>
      <c r="H44" s="1367"/>
      <c r="I44" s="1287"/>
      <c r="J44" s="1357"/>
      <c r="K44" s="354"/>
      <c r="L44" s="362"/>
      <c r="M44" s="362">
        <v>105</v>
      </c>
      <c r="N44" s="362">
        <v>104</v>
      </c>
      <c r="O44" s="362">
        <v>526</v>
      </c>
      <c r="P44" s="356"/>
      <c r="Q44" s="356"/>
      <c r="R44" s="358"/>
      <c r="S44" s="354"/>
      <c r="T44" s="362"/>
      <c r="U44" s="357"/>
      <c r="V44" s="354">
        <v>713</v>
      </c>
      <c r="W44" s="356"/>
      <c r="X44" s="358"/>
      <c r="Y44" s="354"/>
      <c r="Z44" s="362"/>
      <c r="AA44" s="362">
        <v>1000</v>
      </c>
      <c r="AB44" s="357"/>
    </row>
    <row r="45" spans="2:28" s="1" customFormat="1" ht="13.5" thickBot="1">
      <c r="B45" s="1296"/>
      <c r="C45" s="1297"/>
      <c r="D45" s="1300"/>
      <c r="E45" s="1303"/>
      <c r="F45" s="1306"/>
      <c r="G45" s="1309"/>
      <c r="H45" s="1368"/>
      <c r="I45" s="1288"/>
      <c r="J45" s="1358"/>
      <c r="K45" s="354"/>
      <c r="L45" s="362"/>
      <c r="M45" s="362">
        <v>586</v>
      </c>
      <c r="N45" s="362"/>
      <c r="O45" s="362"/>
      <c r="P45" s="356"/>
      <c r="Q45" s="356"/>
      <c r="R45" s="358"/>
      <c r="S45" s="354"/>
      <c r="T45" s="362"/>
      <c r="U45" s="357"/>
      <c r="V45" s="354">
        <v>786</v>
      </c>
      <c r="W45" s="356"/>
      <c r="X45" s="358"/>
      <c r="Y45" s="354"/>
      <c r="Z45" s="362"/>
      <c r="AA45" s="362"/>
      <c r="AB45" s="357"/>
    </row>
    <row r="46" spans="2:28" s="1" customFormat="1" ht="12.75">
      <c r="B46" s="1247" t="s">
        <v>151</v>
      </c>
      <c r="C46" s="1248"/>
      <c r="D46" s="1253">
        <v>47</v>
      </c>
      <c r="E46" s="1256">
        <f>D46/$D$84</f>
        <v>0.06033376123234917</v>
      </c>
      <c r="F46" s="1259">
        <v>17</v>
      </c>
      <c r="G46" s="1262">
        <f>F46/D46</f>
        <v>0.3617021276595745</v>
      </c>
      <c r="H46" s="1363">
        <f>(2*M5)+(1*N5)+(1*O5)+(1*R5)+(2*S5)+(3*T5)+(1*X5)+(1*Y5)+(4*Z5)+(1*AB5)</f>
        <v>3736.1800000000003</v>
      </c>
      <c r="I46" s="1238">
        <f>H46/H84</f>
        <v>0.0707454154975742</v>
      </c>
      <c r="J46" s="1356">
        <f>H46/D46</f>
        <v>79.4931914893617</v>
      </c>
      <c r="K46" s="318"/>
      <c r="L46" s="319"/>
      <c r="M46" s="319">
        <v>753</v>
      </c>
      <c r="N46" s="319">
        <v>195</v>
      </c>
      <c r="O46" s="319">
        <v>97</v>
      </c>
      <c r="P46" s="321"/>
      <c r="Q46" s="321"/>
      <c r="R46" s="323">
        <v>621</v>
      </c>
      <c r="S46" s="318">
        <v>144</v>
      </c>
      <c r="T46" s="319">
        <v>465</v>
      </c>
      <c r="U46" s="322"/>
      <c r="V46" s="318"/>
      <c r="W46" s="321"/>
      <c r="X46" s="323">
        <v>834</v>
      </c>
      <c r="Y46" s="318">
        <v>574</v>
      </c>
      <c r="Z46" s="319">
        <v>875</v>
      </c>
      <c r="AA46" s="319"/>
      <c r="AB46" s="322">
        <v>565</v>
      </c>
    </row>
    <row r="47" spans="2:28" s="1" customFormat="1" ht="12.75">
      <c r="B47" s="1247"/>
      <c r="C47" s="1248"/>
      <c r="D47" s="1253"/>
      <c r="E47" s="1256"/>
      <c r="F47" s="1260"/>
      <c r="G47" s="1263"/>
      <c r="H47" s="1364"/>
      <c r="I47" s="1239"/>
      <c r="J47" s="1357"/>
      <c r="K47" s="349"/>
      <c r="L47" s="350"/>
      <c r="M47" s="350"/>
      <c r="N47" s="350"/>
      <c r="O47" s="350"/>
      <c r="P47" s="351"/>
      <c r="Q47" s="351"/>
      <c r="R47" s="353"/>
      <c r="S47" s="349"/>
      <c r="T47" s="350">
        <v>808</v>
      </c>
      <c r="U47" s="352"/>
      <c r="V47" s="349"/>
      <c r="W47" s="351"/>
      <c r="X47" s="353"/>
      <c r="Y47" s="349"/>
      <c r="Z47" s="350">
        <v>479</v>
      </c>
      <c r="AA47" s="350"/>
      <c r="AB47" s="352"/>
    </row>
    <row r="48" spans="2:28" s="1" customFormat="1" ht="12.75">
      <c r="B48" s="1247"/>
      <c r="C48" s="1248"/>
      <c r="D48" s="1253"/>
      <c r="E48" s="1256"/>
      <c r="F48" s="1260"/>
      <c r="G48" s="1263"/>
      <c r="H48" s="1364"/>
      <c r="I48" s="1239"/>
      <c r="J48" s="1357"/>
      <c r="K48" s="349"/>
      <c r="L48" s="350"/>
      <c r="M48" s="350">
        <v>112</v>
      </c>
      <c r="N48" s="350"/>
      <c r="O48" s="350"/>
      <c r="P48" s="351"/>
      <c r="Q48" s="351"/>
      <c r="R48" s="353"/>
      <c r="S48" s="349">
        <v>823</v>
      </c>
      <c r="T48" s="350">
        <v>33</v>
      </c>
      <c r="U48" s="352"/>
      <c r="V48" s="349"/>
      <c r="W48" s="351"/>
      <c r="X48" s="353"/>
      <c r="Y48" s="349"/>
      <c r="Z48" s="350">
        <v>86</v>
      </c>
      <c r="AA48" s="350"/>
      <c r="AB48" s="352"/>
    </row>
    <row r="49" spans="2:28" s="1" customFormat="1" ht="12.75">
      <c r="B49" s="1247"/>
      <c r="C49" s="1248"/>
      <c r="D49" s="1253"/>
      <c r="E49" s="1256"/>
      <c r="F49" s="1260"/>
      <c r="G49" s="1263"/>
      <c r="H49" s="1364"/>
      <c r="I49" s="1239"/>
      <c r="J49" s="1357"/>
      <c r="K49" s="349"/>
      <c r="L49" s="350"/>
      <c r="M49" s="350"/>
      <c r="N49" s="350"/>
      <c r="O49" s="350"/>
      <c r="P49" s="351"/>
      <c r="Q49" s="351"/>
      <c r="R49" s="353"/>
      <c r="S49" s="349"/>
      <c r="T49" s="350"/>
      <c r="U49" s="352"/>
      <c r="V49" s="349"/>
      <c r="W49" s="351"/>
      <c r="X49" s="353"/>
      <c r="Y49" s="349"/>
      <c r="Z49" s="350">
        <v>229</v>
      </c>
      <c r="AA49" s="350"/>
      <c r="AB49" s="352"/>
    </row>
    <row r="50" spans="1:28" s="6" customFormat="1" ht="13.5" thickBot="1">
      <c r="A50" s="1"/>
      <c r="B50" s="1249"/>
      <c r="C50" s="1250"/>
      <c r="D50" s="1254"/>
      <c r="E50" s="1257"/>
      <c r="F50" s="1261"/>
      <c r="G50" s="1264"/>
      <c r="H50" s="1365"/>
      <c r="I50" s="1240"/>
      <c r="J50" s="1358"/>
      <c r="K50" s="354"/>
      <c r="L50" s="362"/>
      <c r="M50" s="362"/>
      <c r="N50" s="362"/>
      <c r="O50" s="362"/>
      <c r="P50" s="356"/>
      <c r="Q50" s="356"/>
      <c r="R50" s="358"/>
      <c r="S50" s="354"/>
      <c r="T50" s="362"/>
      <c r="U50" s="357"/>
      <c r="V50" s="354"/>
      <c r="W50" s="356"/>
      <c r="X50" s="358"/>
      <c r="Y50" s="354"/>
      <c r="Z50" s="362"/>
      <c r="AA50" s="362"/>
      <c r="AB50" s="357"/>
    </row>
    <row r="51" spans="2:28" s="1" customFormat="1" ht="13.5" thickBot="1">
      <c r="B51" s="1277" t="s">
        <v>152</v>
      </c>
      <c r="C51" s="1278"/>
      <c r="D51" s="1279">
        <v>35</v>
      </c>
      <c r="E51" s="1280">
        <f>D51/$D$84</f>
        <v>0.044929396662387676</v>
      </c>
      <c r="F51" s="1259">
        <v>10</v>
      </c>
      <c r="G51" s="1262">
        <f>F51/D51</f>
        <v>0.2857142857142857</v>
      </c>
      <c r="H51" s="1363">
        <f>(2*K5)+(2*L5)+(1*N5)+(1*P5)+(2*X5)+(1*Y5)+(1*Z5)</f>
        <v>2283.63</v>
      </c>
      <c r="I51" s="1238">
        <f>H51/H84</f>
        <v>0.04324105187456851</v>
      </c>
      <c r="J51" s="1356">
        <f>H51/D51</f>
        <v>65.24657142857143</v>
      </c>
      <c r="K51" s="318">
        <v>839</v>
      </c>
      <c r="L51" s="319">
        <v>744</v>
      </c>
      <c r="M51" s="319"/>
      <c r="N51" s="319">
        <v>652</v>
      </c>
      <c r="O51" s="319"/>
      <c r="P51" s="321">
        <v>806</v>
      </c>
      <c r="Q51" s="321"/>
      <c r="R51" s="323"/>
      <c r="S51" s="318"/>
      <c r="T51" s="319"/>
      <c r="U51" s="322"/>
      <c r="V51" s="318"/>
      <c r="W51" s="321"/>
      <c r="X51" s="323">
        <v>718</v>
      </c>
      <c r="Y51" s="318">
        <v>383</v>
      </c>
      <c r="Z51" s="319">
        <v>629</v>
      </c>
      <c r="AA51" s="319"/>
      <c r="AB51" s="322"/>
    </row>
    <row r="52" spans="2:28" s="1" customFormat="1" ht="13.5" thickBot="1">
      <c r="B52" s="1277"/>
      <c r="C52" s="1278"/>
      <c r="D52" s="1279"/>
      <c r="E52" s="1280"/>
      <c r="F52" s="1260"/>
      <c r="G52" s="1263"/>
      <c r="H52" s="1364"/>
      <c r="I52" s="1239"/>
      <c r="J52" s="1357"/>
      <c r="K52" s="354">
        <v>358</v>
      </c>
      <c r="L52" s="362">
        <v>697</v>
      </c>
      <c r="M52" s="362"/>
      <c r="N52" s="362"/>
      <c r="O52" s="362"/>
      <c r="P52" s="356"/>
      <c r="Q52" s="356"/>
      <c r="R52" s="358"/>
      <c r="S52" s="354"/>
      <c r="T52" s="362"/>
      <c r="U52" s="357"/>
      <c r="V52" s="354"/>
      <c r="W52" s="356"/>
      <c r="X52" s="358">
        <v>743</v>
      </c>
      <c r="Y52" s="354"/>
      <c r="Z52" s="362"/>
      <c r="AA52" s="362"/>
      <c r="AB52" s="357"/>
    </row>
    <row r="53" spans="2:28" s="1" customFormat="1" ht="13.5" thickBot="1">
      <c r="B53" s="1277"/>
      <c r="C53" s="1278"/>
      <c r="D53" s="1279"/>
      <c r="E53" s="1280"/>
      <c r="F53" s="1260"/>
      <c r="G53" s="1263"/>
      <c r="H53" s="1364"/>
      <c r="I53" s="1239"/>
      <c r="J53" s="1358"/>
      <c r="K53" s="377"/>
      <c r="L53" s="379"/>
      <c r="M53" s="379"/>
      <c r="N53" s="379"/>
      <c r="O53" s="379"/>
      <c r="P53" s="380"/>
      <c r="Q53" s="380"/>
      <c r="R53" s="382"/>
      <c r="S53" s="377"/>
      <c r="T53" s="379"/>
      <c r="U53" s="381"/>
      <c r="V53" s="377"/>
      <c r="W53" s="380"/>
      <c r="X53" s="382"/>
      <c r="Y53" s="377"/>
      <c r="Z53" s="379"/>
      <c r="AA53" s="379"/>
      <c r="AB53" s="381"/>
    </row>
    <row r="54" spans="2:28" s="1" customFormat="1" ht="13.5" thickBot="1">
      <c r="B54" s="1281" t="s">
        <v>153</v>
      </c>
      <c r="C54" s="1282"/>
      <c r="D54" s="1279">
        <v>18</v>
      </c>
      <c r="E54" s="1280">
        <f>D54/$D$84</f>
        <v>0.023106546854942234</v>
      </c>
      <c r="F54" s="1259">
        <v>6</v>
      </c>
      <c r="G54" s="1262">
        <f>F54/D54</f>
        <v>0.3333333333333333</v>
      </c>
      <c r="H54" s="1363">
        <f>(1*K5)+(2*L5)+(1*M5)+(2*Z5)</f>
        <v>1405.12</v>
      </c>
      <c r="I54" s="1238">
        <f>H54/H84</f>
        <v>0.026606265818015045</v>
      </c>
      <c r="J54" s="1357">
        <f>H54/D54</f>
        <v>78.06222222222222</v>
      </c>
      <c r="K54" s="318">
        <v>946</v>
      </c>
      <c r="L54" s="319">
        <v>245</v>
      </c>
      <c r="M54" s="319">
        <v>613</v>
      </c>
      <c r="N54" s="319"/>
      <c r="O54" s="319"/>
      <c r="P54" s="321"/>
      <c r="Q54" s="321"/>
      <c r="R54" s="323"/>
      <c r="S54" s="318"/>
      <c r="T54" s="319"/>
      <c r="U54" s="322"/>
      <c r="V54" s="318"/>
      <c r="W54" s="321"/>
      <c r="X54" s="323"/>
      <c r="Y54" s="318"/>
      <c r="Z54" s="319">
        <v>605</v>
      </c>
      <c r="AA54" s="319"/>
      <c r="AB54" s="322"/>
    </row>
    <row r="55" spans="1:28" s="6" customFormat="1" ht="13.5" thickBot="1">
      <c r="A55" s="1"/>
      <c r="B55" s="1281"/>
      <c r="C55" s="1282"/>
      <c r="D55" s="1279"/>
      <c r="E55" s="1280"/>
      <c r="F55" s="1261"/>
      <c r="G55" s="1264"/>
      <c r="H55" s="1365"/>
      <c r="I55" s="1240"/>
      <c r="J55" s="1357"/>
      <c r="K55" s="332"/>
      <c r="L55" s="333">
        <v>90</v>
      </c>
      <c r="M55" s="339"/>
      <c r="N55" s="339"/>
      <c r="O55" s="339"/>
      <c r="P55" s="335"/>
      <c r="Q55" s="335"/>
      <c r="R55" s="337"/>
      <c r="S55" s="332"/>
      <c r="T55" s="339"/>
      <c r="U55" s="336"/>
      <c r="V55" s="332"/>
      <c r="W55" s="335"/>
      <c r="X55" s="337"/>
      <c r="Y55" s="332"/>
      <c r="Z55" s="339">
        <v>501</v>
      </c>
      <c r="AA55" s="339"/>
      <c r="AB55" s="336"/>
    </row>
    <row r="56" spans="2:28" s="1" customFormat="1" ht="13.5" thickBot="1">
      <c r="B56" s="1281" t="s">
        <v>154</v>
      </c>
      <c r="C56" s="1282"/>
      <c r="D56" s="1279">
        <v>20</v>
      </c>
      <c r="E56" s="1280">
        <f>D56/$D$84</f>
        <v>0.025673940949935817</v>
      </c>
      <c r="F56" s="1259">
        <v>4</v>
      </c>
      <c r="G56" s="1262">
        <f>F56/D56</f>
        <v>0.2</v>
      </c>
      <c r="H56" s="1363">
        <f>(2*K5)+(2*Z5)</f>
        <v>1071.9</v>
      </c>
      <c r="I56" s="1238">
        <f>H56/H84</f>
        <v>0.020296669558706966</v>
      </c>
      <c r="J56" s="1356">
        <f>H56/D56</f>
        <v>53.595000000000006</v>
      </c>
      <c r="K56" s="318">
        <v>955</v>
      </c>
      <c r="L56" s="319"/>
      <c r="M56" s="319"/>
      <c r="N56" s="319"/>
      <c r="O56" s="319"/>
      <c r="P56" s="321"/>
      <c r="Q56" s="321"/>
      <c r="R56" s="323"/>
      <c r="S56" s="318"/>
      <c r="T56" s="319"/>
      <c r="U56" s="322"/>
      <c r="V56" s="318"/>
      <c r="W56" s="321"/>
      <c r="X56" s="323"/>
      <c r="Y56" s="318"/>
      <c r="Z56" s="319">
        <v>297</v>
      </c>
      <c r="AA56" s="319"/>
      <c r="AB56" s="322"/>
    </row>
    <row r="57" spans="1:28" s="6" customFormat="1" ht="13.5" thickBot="1">
      <c r="A57" s="1"/>
      <c r="B57" s="1281"/>
      <c r="C57" s="1282"/>
      <c r="D57" s="1279"/>
      <c r="E57" s="1280"/>
      <c r="F57" s="1261"/>
      <c r="G57" s="1264"/>
      <c r="H57" s="1365"/>
      <c r="I57" s="1240"/>
      <c r="J57" s="1358"/>
      <c r="K57" s="332">
        <v>430</v>
      </c>
      <c r="L57" s="333"/>
      <c r="M57" s="339"/>
      <c r="N57" s="339"/>
      <c r="O57" s="339"/>
      <c r="P57" s="335"/>
      <c r="Q57" s="335"/>
      <c r="R57" s="337"/>
      <c r="S57" s="332"/>
      <c r="T57" s="339"/>
      <c r="U57" s="336"/>
      <c r="V57" s="332"/>
      <c r="W57" s="335"/>
      <c r="X57" s="337"/>
      <c r="Y57" s="332"/>
      <c r="Z57" s="339">
        <v>843</v>
      </c>
      <c r="AA57" s="339"/>
      <c r="AB57" s="336"/>
    </row>
    <row r="58" spans="2:28" s="1" customFormat="1" ht="13.5" thickBot="1">
      <c r="B58" s="1277" t="s">
        <v>155</v>
      </c>
      <c r="C58" s="1278"/>
      <c r="D58" s="1279">
        <v>32</v>
      </c>
      <c r="E58" s="1280">
        <f>D58/$D$84</f>
        <v>0.0410783055198973</v>
      </c>
      <c r="F58" s="1259">
        <v>10</v>
      </c>
      <c r="G58" s="1262">
        <f>F58/D58</f>
        <v>0.3125</v>
      </c>
      <c r="H58" s="1363">
        <f>(2*K5)+(1*M5)+(2*S5)+(2*T5)+(2*Z5)+(1*R5)</f>
        <v>2810.44</v>
      </c>
      <c r="I58" s="1238">
        <f>H58/H84</f>
        <v>0.053216318681381096</v>
      </c>
      <c r="J58" s="1356">
        <f>H58/D58</f>
        <v>87.82625</v>
      </c>
      <c r="K58" s="318">
        <v>88</v>
      </c>
      <c r="L58" s="319"/>
      <c r="M58" s="319">
        <v>304</v>
      </c>
      <c r="N58" s="319"/>
      <c r="O58" s="319"/>
      <c r="P58" s="321"/>
      <c r="Q58" s="321"/>
      <c r="R58" s="323">
        <v>145</v>
      </c>
      <c r="S58" s="318">
        <v>655</v>
      </c>
      <c r="T58" s="319">
        <v>536</v>
      </c>
      <c r="U58" s="322"/>
      <c r="V58" s="318"/>
      <c r="W58" s="321"/>
      <c r="X58" s="323"/>
      <c r="Y58" s="318"/>
      <c r="Z58" s="319">
        <v>644</v>
      </c>
      <c r="AA58" s="319"/>
      <c r="AB58" s="322"/>
    </row>
    <row r="59" spans="2:28" s="1" customFormat="1" ht="13.5" thickBot="1">
      <c r="B59" s="1277"/>
      <c r="C59" s="1278"/>
      <c r="D59" s="1279"/>
      <c r="E59" s="1280"/>
      <c r="F59" s="1260"/>
      <c r="G59" s="1263"/>
      <c r="H59" s="1364"/>
      <c r="I59" s="1239"/>
      <c r="J59" s="1357"/>
      <c r="K59" s="325">
        <v>133</v>
      </c>
      <c r="L59" s="326"/>
      <c r="M59" s="326"/>
      <c r="N59" s="326"/>
      <c r="O59" s="326"/>
      <c r="P59" s="328"/>
      <c r="Q59" s="328"/>
      <c r="R59" s="330"/>
      <c r="S59" s="325">
        <v>63</v>
      </c>
      <c r="T59" s="326">
        <v>689</v>
      </c>
      <c r="U59" s="329"/>
      <c r="V59" s="325"/>
      <c r="W59" s="328"/>
      <c r="X59" s="330"/>
      <c r="Y59" s="325"/>
      <c r="Z59" s="326">
        <v>817</v>
      </c>
      <c r="AA59" s="326"/>
      <c r="AB59" s="329"/>
    </row>
    <row r="60" spans="2:28" s="1" customFormat="1" ht="13.5" thickBot="1">
      <c r="B60" s="1277"/>
      <c r="C60" s="1278"/>
      <c r="D60" s="1279"/>
      <c r="E60" s="1280"/>
      <c r="F60" s="1261"/>
      <c r="G60" s="1264"/>
      <c r="H60" s="1365"/>
      <c r="I60" s="1240"/>
      <c r="J60" s="1358"/>
      <c r="K60" s="332"/>
      <c r="L60" s="333"/>
      <c r="M60" s="339"/>
      <c r="N60" s="339"/>
      <c r="O60" s="339"/>
      <c r="P60" s="335"/>
      <c r="Q60" s="335"/>
      <c r="R60" s="337"/>
      <c r="S60" s="332"/>
      <c r="T60" s="339"/>
      <c r="U60" s="336"/>
      <c r="V60" s="332"/>
      <c r="W60" s="335"/>
      <c r="X60" s="337"/>
      <c r="Y60" s="332"/>
      <c r="Z60" s="339"/>
      <c r="AA60" s="339"/>
      <c r="AB60" s="336"/>
    </row>
    <row r="61" spans="2:29" s="1" customFormat="1" ht="13.5" thickBot="1">
      <c r="B61" s="1277" t="s">
        <v>156</v>
      </c>
      <c r="C61" s="1278"/>
      <c r="D61" s="1279">
        <v>24</v>
      </c>
      <c r="E61" s="1280">
        <f>D61/$D$84</f>
        <v>0.03080872913992298</v>
      </c>
      <c r="F61" s="1259">
        <v>1</v>
      </c>
      <c r="G61" s="1262">
        <f>F61/D61</f>
        <v>0.041666666666666664</v>
      </c>
      <c r="H61" s="1363">
        <f>(1*K5)</f>
        <v>370.4</v>
      </c>
      <c r="I61" s="1238">
        <f>H61/H84</f>
        <v>0.007013607990059761</v>
      </c>
      <c r="J61" s="1356">
        <f>H61/D61</f>
        <v>15.433333333333332</v>
      </c>
      <c r="K61" s="318">
        <v>715</v>
      </c>
      <c r="L61" s="319"/>
      <c r="M61" s="319"/>
      <c r="N61" s="319"/>
      <c r="O61" s="319"/>
      <c r="P61" s="321"/>
      <c r="Q61" s="321"/>
      <c r="R61" s="323"/>
      <c r="S61" s="318"/>
      <c r="T61" s="319"/>
      <c r="U61" s="322"/>
      <c r="V61" s="318"/>
      <c r="W61" s="321"/>
      <c r="X61" s="323"/>
      <c r="Y61" s="318"/>
      <c r="Z61" s="319"/>
      <c r="AA61" s="319"/>
      <c r="AB61" s="322"/>
      <c r="AC61" s="393"/>
    </row>
    <row r="62" spans="2:29" s="1" customFormat="1" ht="13.5" thickBot="1">
      <c r="B62" s="1277"/>
      <c r="C62" s="1278"/>
      <c r="D62" s="1279"/>
      <c r="E62" s="1280"/>
      <c r="F62" s="1260"/>
      <c r="G62" s="1263"/>
      <c r="H62" s="1364"/>
      <c r="I62" s="1239"/>
      <c r="J62" s="1358"/>
      <c r="K62" s="349"/>
      <c r="L62" s="350"/>
      <c r="M62" s="350"/>
      <c r="N62" s="350"/>
      <c r="O62" s="350"/>
      <c r="P62" s="351"/>
      <c r="Q62" s="351"/>
      <c r="R62" s="353"/>
      <c r="S62" s="349"/>
      <c r="T62" s="350"/>
      <c r="U62" s="352"/>
      <c r="V62" s="349"/>
      <c r="W62" s="351"/>
      <c r="X62" s="353"/>
      <c r="Y62" s="349"/>
      <c r="Z62" s="350"/>
      <c r="AA62" s="350"/>
      <c r="AB62" s="352"/>
      <c r="AC62" s="393"/>
    </row>
    <row r="63" spans="2:28" s="1" customFormat="1" ht="12.75">
      <c r="B63" s="1268" t="s">
        <v>157</v>
      </c>
      <c r="C63" s="1269"/>
      <c r="D63" s="1274">
        <v>34</v>
      </c>
      <c r="E63" s="1262">
        <f>D63/$D$84</f>
        <v>0.043645699614890884</v>
      </c>
      <c r="F63" s="1259">
        <v>15</v>
      </c>
      <c r="G63" s="1262">
        <f>F63/D63</f>
        <v>0.4411764705882353</v>
      </c>
      <c r="H63" s="1363">
        <f>(2*K5)+(2*L5)+(2*M5)+(1*R5)+(2*T5)+(2*V5)+(2*W5)+(2*Y5)</f>
        <v>3857.36</v>
      </c>
      <c r="I63" s="1238">
        <f>H63/H84</f>
        <v>0.07303998627574763</v>
      </c>
      <c r="J63" s="1356">
        <f>H63/D63</f>
        <v>113.45176470588235</v>
      </c>
      <c r="K63" s="318">
        <v>836</v>
      </c>
      <c r="L63" s="319">
        <v>16</v>
      </c>
      <c r="M63" s="319">
        <v>156</v>
      </c>
      <c r="N63" s="319"/>
      <c r="O63" s="319"/>
      <c r="P63" s="321"/>
      <c r="Q63" s="321"/>
      <c r="R63" s="323">
        <v>327</v>
      </c>
      <c r="S63" s="318"/>
      <c r="T63" s="319">
        <v>694</v>
      </c>
      <c r="U63" s="322"/>
      <c r="V63" s="318">
        <v>851</v>
      </c>
      <c r="W63" s="321">
        <v>633</v>
      </c>
      <c r="X63" s="323"/>
      <c r="Y63" s="318">
        <v>48</v>
      </c>
      <c r="Z63" s="319"/>
      <c r="AA63" s="319"/>
      <c r="AB63" s="322"/>
    </row>
    <row r="64" spans="2:28" s="1" customFormat="1" ht="12.75">
      <c r="B64" s="1270"/>
      <c r="C64" s="1271"/>
      <c r="D64" s="1275"/>
      <c r="E64" s="1263"/>
      <c r="F64" s="1260"/>
      <c r="G64" s="1263"/>
      <c r="H64" s="1364"/>
      <c r="I64" s="1239"/>
      <c r="J64" s="1357"/>
      <c r="K64" s="349">
        <v>62</v>
      </c>
      <c r="L64" s="350">
        <v>177</v>
      </c>
      <c r="M64" s="350">
        <v>476</v>
      </c>
      <c r="N64" s="350"/>
      <c r="O64" s="350"/>
      <c r="P64" s="351"/>
      <c r="Q64" s="351"/>
      <c r="R64" s="353"/>
      <c r="S64" s="349"/>
      <c r="T64" s="350">
        <v>529</v>
      </c>
      <c r="U64" s="352"/>
      <c r="V64" s="349">
        <v>27</v>
      </c>
      <c r="W64" s="351">
        <v>44</v>
      </c>
      <c r="X64" s="353"/>
      <c r="Y64" s="349">
        <v>257</v>
      </c>
      <c r="Z64" s="350"/>
      <c r="AA64" s="350"/>
      <c r="AB64" s="352"/>
    </row>
    <row r="65" spans="2:28" s="1" customFormat="1" ht="12.75">
      <c r="B65" s="1270"/>
      <c r="C65" s="1271"/>
      <c r="D65" s="1275"/>
      <c r="E65" s="1263"/>
      <c r="F65" s="1260"/>
      <c r="G65" s="1263"/>
      <c r="H65" s="1364"/>
      <c r="I65" s="1239"/>
      <c r="J65" s="1357"/>
      <c r="K65" s="349"/>
      <c r="L65" s="350"/>
      <c r="M65" s="350"/>
      <c r="N65" s="350"/>
      <c r="O65" s="350"/>
      <c r="P65" s="351"/>
      <c r="Q65" s="351"/>
      <c r="R65" s="353"/>
      <c r="S65" s="349"/>
      <c r="T65" s="350"/>
      <c r="U65" s="352"/>
      <c r="V65" s="349"/>
      <c r="W65" s="351"/>
      <c r="X65" s="353"/>
      <c r="Y65" s="349"/>
      <c r="Z65" s="350"/>
      <c r="AA65" s="350"/>
      <c r="AB65" s="352"/>
    </row>
    <row r="66" spans="2:28" s="1" customFormat="1" ht="13.5" thickBot="1">
      <c r="B66" s="1272"/>
      <c r="C66" s="1273"/>
      <c r="D66" s="1276"/>
      <c r="E66" s="1264"/>
      <c r="F66" s="1261"/>
      <c r="G66" s="1264"/>
      <c r="H66" s="1365"/>
      <c r="I66" s="1240"/>
      <c r="J66" s="1358"/>
      <c r="K66" s="354"/>
      <c r="L66" s="362"/>
      <c r="M66" s="362"/>
      <c r="N66" s="362"/>
      <c r="O66" s="362"/>
      <c r="P66" s="356"/>
      <c r="Q66" s="356"/>
      <c r="R66" s="358"/>
      <c r="S66" s="354"/>
      <c r="T66" s="362"/>
      <c r="U66" s="357"/>
      <c r="V66" s="354"/>
      <c r="W66" s="356"/>
      <c r="X66" s="358"/>
      <c r="Y66" s="354"/>
      <c r="Z66" s="362"/>
      <c r="AA66" s="362"/>
      <c r="AB66" s="357"/>
    </row>
    <row r="67" spans="2:28" s="1" customFormat="1" ht="12.75">
      <c r="B67" s="1270" t="s">
        <v>158</v>
      </c>
      <c r="C67" s="1271"/>
      <c r="D67" s="1275">
        <v>56</v>
      </c>
      <c r="E67" s="1263">
        <f>D67/$D$84</f>
        <v>0.07188703465982028</v>
      </c>
      <c r="F67" s="1259">
        <v>16</v>
      </c>
      <c r="G67" s="1262">
        <f>F67/D67</f>
        <v>0.2857142857142857</v>
      </c>
      <c r="H67" s="1363">
        <f>(1*K5)+(2*M5)+(1*S5)+(6*T5)+(1*V5)+(1*X5)+(3*Z5)+(1*AB5)</f>
        <v>3102.78</v>
      </c>
      <c r="I67" s="1238">
        <f>H67/H84</f>
        <v>0.05875184287094393</v>
      </c>
      <c r="J67" s="1356">
        <f>H67/D67</f>
        <v>55.40678571428572</v>
      </c>
      <c r="K67" s="318">
        <v>842</v>
      </c>
      <c r="L67" s="319"/>
      <c r="M67" s="319">
        <v>717</v>
      </c>
      <c r="N67" s="319"/>
      <c r="O67" s="319"/>
      <c r="P67" s="321"/>
      <c r="Q67" s="321"/>
      <c r="R67" s="323"/>
      <c r="S67" s="318">
        <v>165</v>
      </c>
      <c r="T67" s="319">
        <v>169</v>
      </c>
      <c r="U67" s="322"/>
      <c r="V67" s="318">
        <v>365</v>
      </c>
      <c r="W67" s="321"/>
      <c r="X67" s="323">
        <v>171</v>
      </c>
      <c r="Y67" s="318"/>
      <c r="Z67" s="319">
        <v>171</v>
      </c>
      <c r="AA67" s="319"/>
      <c r="AB67" s="322">
        <v>775</v>
      </c>
    </row>
    <row r="68" spans="2:28" s="1" customFormat="1" ht="12.75">
      <c r="B68" s="1270"/>
      <c r="C68" s="1271"/>
      <c r="D68" s="1275"/>
      <c r="E68" s="1263"/>
      <c r="F68" s="1260"/>
      <c r="G68" s="1263"/>
      <c r="H68" s="1364"/>
      <c r="I68" s="1239"/>
      <c r="J68" s="1357"/>
      <c r="K68" s="354"/>
      <c r="L68" s="362"/>
      <c r="M68" s="362">
        <v>657</v>
      </c>
      <c r="N68" s="362"/>
      <c r="O68" s="362"/>
      <c r="P68" s="356"/>
      <c r="Q68" s="356"/>
      <c r="R68" s="358"/>
      <c r="S68" s="354"/>
      <c r="T68" s="362">
        <v>755</v>
      </c>
      <c r="U68" s="357"/>
      <c r="V68" s="354"/>
      <c r="W68" s="356"/>
      <c r="X68" s="358"/>
      <c r="Y68" s="354"/>
      <c r="Z68" s="362">
        <v>953</v>
      </c>
      <c r="AA68" s="362"/>
      <c r="AB68" s="357"/>
    </row>
    <row r="69" spans="2:28" s="1" customFormat="1" ht="12.75">
      <c r="B69" s="1270"/>
      <c r="C69" s="1271"/>
      <c r="D69" s="1275"/>
      <c r="E69" s="1263"/>
      <c r="F69" s="1260"/>
      <c r="G69" s="1263"/>
      <c r="H69" s="1364"/>
      <c r="I69" s="1239"/>
      <c r="J69" s="1357"/>
      <c r="K69" s="354"/>
      <c r="L69" s="362"/>
      <c r="M69" s="362"/>
      <c r="N69" s="362"/>
      <c r="O69" s="362"/>
      <c r="P69" s="356"/>
      <c r="Q69" s="356"/>
      <c r="R69" s="358"/>
      <c r="S69" s="354"/>
      <c r="T69" s="362">
        <v>168</v>
      </c>
      <c r="U69" s="357"/>
      <c r="V69" s="354"/>
      <c r="W69" s="356"/>
      <c r="X69" s="358"/>
      <c r="Y69" s="354"/>
      <c r="Z69" s="362">
        <v>651</v>
      </c>
      <c r="AA69" s="362"/>
      <c r="AB69" s="357"/>
    </row>
    <row r="70" spans="2:28" s="1" customFormat="1" ht="12.75">
      <c r="B70" s="1270"/>
      <c r="C70" s="1271"/>
      <c r="D70" s="1275"/>
      <c r="E70" s="1263"/>
      <c r="F70" s="1260"/>
      <c r="G70" s="1263"/>
      <c r="H70" s="1364"/>
      <c r="I70" s="1239"/>
      <c r="J70" s="1357"/>
      <c r="K70" s="354"/>
      <c r="L70" s="362"/>
      <c r="M70" s="362"/>
      <c r="N70" s="362"/>
      <c r="O70" s="362"/>
      <c r="P70" s="356"/>
      <c r="Q70" s="356"/>
      <c r="R70" s="358"/>
      <c r="S70" s="354"/>
      <c r="T70" s="362">
        <v>460</v>
      </c>
      <c r="U70" s="357"/>
      <c r="V70" s="354"/>
      <c r="W70" s="356"/>
      <c r="X70" s="358"/>
      <c r="Y70" s="354"/>
      <c r="Z70" s="362"/>
      <c r="AA70" s="362"/>
      <c r="AB70" s="357"/>
    </row>
    <row r="71" spans="2:28" s="1" customFormat="1" ht="12.75">
      <c r="B71" s="1270"/>
      <c r="C71" s="1271"/>
      <c r="D71" s="1275"/>
      <c r="E71" s="1263"/>
      <c r="F71" s="1260"/>
      <c r="G71" s="1263"/>
      <c r="H71" s="1364"/>
      <c r="I71" s="1239"/>
      <c r="J71" s="1357"/>
      <c r="K71" s="354"/>
      <c r="L71" s="362"/>
      <c r="M71" s="362"/>
      <c r="N71" s="362"/>
      <c r="O71" s="362"/>
      <c r="P71" s="356"/>
      <c r="Q71" s="356"/>
      <c r="R71" s="358"/>
      <c r="S71" s="354"/>
      <c r="T71" s="362">
        <v>301</v>
      </c>
      <c r="U71" s="357"/>
      <c r="V71" s="354"/>
      <c r="W71" s="356"/>
      <c r="X71" s="358"/>
      <c r="Y71" s="354"/>
      <c r="Z71" s="362"/>
      <c r="AA71" s="362"/>
      <c r="AB71" s="357"/>
    </row>
    <row r="72" spans="2:28" s="1" customFormat="1" ht="13.5" thickBot="1">
      <c r="B72" s="1270"/>
      <c r="C72" s="1271"/>
      <c r="D72" s="1275"/>
      <c r="E72" s="1263"/>
      <c r="F72" s="1261"/>
      <c r="G72" s="1264"/>
      <c r="H72" s="1365"/>
      <c r="I72" s="1240"/>
      <c r="J72" s="1358"/>
      <c r="K72" s="354"/>
      <c r="L72" s="362"/>
      <c r="M72" s="362"/>
      <c r="N72" s="362"/>
      <c r="O72" s="362"/>
      <c r="P72" s="356"/>
      <c r="Q72" s="356"/>
      <c r="R72" s="358"/>
      <c r="S72" s="354"/>
      <c r="T72" s="362">
        <v>566</v>
      </c>
      <c r="U72" s="357"/>
      <c r="V72" s="354"/>
      <c r="W72" s="356"/>
      <c r="X72" s="358"/>
      <c r="Y72" s="354"/>
      <c r="Z72" s="362"/>
      <c r="AA72" s="362"/>
      <c r="AB72" s="357"/>
    </row>
    <row r="73" spans="1:29" ht="12.75">
      <c r="A73" s="5"/>
      <c r="B73" s="1268" t="s">
        <v>159</v>
      </c>
      <c r="C73" s="1269"/>
      <c r="D73" s="1274">
        <v>77</v>
      </c>
      <c r="E73" s="1262">
        <f>D73/$D$84</f>
        <v>0.09884467265725289</v>
      </c>
      <c r="F73" s="1259">
        <v>20</v>
      </c>
      <c r="G73" s="1262">
        <f>F73/D73</f>
        <v>0.2597402597402597</v>
      </c>
      <c r="H73" s="1363">
        <f>(3*K5)+(1*L5)+(2*M5)+(1*N5)+(1*P5)+(4*T5)+(2*U5)+(1*W5)+(3*Z5)+(1*AB5)</f>
        <v>4125.92</v>
      </c>
      <c r="I73" s="1238">
        <f>H73/H84</f>
        <v>0.07812523077307607</v>
      </c>
      <c r="J73" s="1356">
        <f>H73/D73</f>
        <v>53.58337662337662</v>
      </c>
      <c r="K73" s="318">
        <v>516</v>
      </c>
      <c r="L73" s="319">
        <v>841</v>
      </c>
      <c r="M73" s="319">
        <v>36</v>
      </c>
      <c r="N73" s="319">
        <v>46</v>
      </c>
      <c r="O73" s="319"/>
      <c r="P73" s="321">
        <v>89</v>
      </c>
      <c r="Q73" s="321"/>
      <c r="R73" s="323"/>
      <c r="S73" s="318"/>
      <c r="T73" s="319">
        <v>981</v>
      </c>
      <c r="U73" s="321">
        <v>427</v>
      </c>
      <c r="V73" s="365"/>
      <c r="W73" s="321">
        <v>800</v>
      </c>
      <c r="X73" s="323"/>
      <c r="Y73" s="318"/>
      <c r="Z73" s="319">
        <v>833</v>
      </c>
      <c r="AA73" s="319"/>
      <c r="AB73" s="322">
        <v>473</v>
      </c>
      <c r="AC73" s="241"/>
    </row>
    <row r="74" spans="1:29" ht="12.75">
      <c r="A74" s="5"/>
      <c r="B74" s="1270"/>
      <c r="C74" s="1271"/>
      <c r="D74" s="1275"/>
      <c r="E74" s="1263"/>
      <c r="F74" s="1260"/>
      <c r="G74" s="1263"/>
      <c r="H74" s="1364"/>
      <c r="I74" s="1239"/>
      <c r="J74" s="1357"/>
      <c r="K74" s="349">
        <v>224</v>
      </c>
      <c r="L74" s="350"/>
      <c r="M74" s="350">
        <v>915</v>
      </c>
      <c r="N74" s="350"/>
      <c r="O74" s="350"/>
      <c r="P74" s="351"/>
      <c r="Q74" s="351"/>
      <c r="R74" s="353"/>
      <c r="S74" s="349"/>
      <c r="T74" s="350">
        <v>547</v>
      </c>
      <c r="U74" s="351">
        <v>475</v>
      </c>
      <c r="V74" s="438"/>
      <c r="W74" s="351"/>
      <c r="X74" s="353"/>
      <c r="Y74" s="349"/>
      <c r="Z74" s="350">
        <v>313</v>
      </c>
      <c r="AA74" s="350"/>
      <c r="AB74" s="352"/>
      <c r="AC74" s="241"/>
    </row>
    <row r="75" spans="1:29" ht="12.75">
      <c r="A75" s="5"/>
      <c r="B75" s="1270"/>
      <c r="C75" s="1271"/>
      <c r="D75" s="1275"/>
      <c r="E75" s="1263"/>
      <c r="F75" s="1260"/>
      <c r="G75" s="1263"/>
      <c r="H75" s="1364"/>
      <c r="I75" s="1239"/>
      <c r="J75" s="1357"/>
      <c r="K75" s="354">
        <v>544</v>
      </c>
      <c r="L75" s="362"/>
      <c r="M75" s="362"/>
      <c r="N75" s="362"/>
      <c r="O75" s="362"/>
      <c r="P75" s="356"/>
      <c r="Q75" s="356"/>
      <c r="R75" s="358"/>
      <c r="S75" s="354"/>
      <c r="T75" s="362">
        <v>322</v>
      </c>
      <c r="U75" s="356"/>
      <c r="V75" s="394"/>
      <c r="W75" s="356"/>
      <c r="X75" s="358"/>
      <c r="Y75" s="354"/>
      <c r="Z75" s="362">
        <v>572</v>
      </c>
      <c r="AA75" s="362"/>
      <c r="AB75" s="357"/>
      <c r="AC75" s="241"/>
    </row>
    <row r="76" spans="1:29" ht="13.5" thickBot="1">
      <c r="A76" s="5"/>
      <c r="B76" s="1272"/>
      <c r="C76" s="1273"/>
      <c r="D76" s="1276"/>
      <c r="E76" s="1264"/>
      <c r="F76" s="1261"/>
      <c r="G76" s="1264"/>
      <c r="H76" s="1365"/>
      <c r="I76" s="1240"/>
      <c r="J76" s="1358"/>
      <c r="K76" s="354"/>
      <c r="L76" s="362"/>
      <c r="M76" s="362"/>
      <c r="N76" s="362"/>
      <c r="O76" s="362"/>
      <c r="P76" s="356"/>
      <c r="Q76" s="356"/>
      <c r="R76" s="358"/>
      <c r="S76" s="354"/>
      <c r="T76" s="362">
        <v>69</v>
      </c>
      <c r="U76" s="356"/>
      <c r="V76" s="394"/>
      <c r="W76" s="356"/>
      <c r="X76" s="358"/>
      <c r="Y76" s="354"/>
      <c r="Z76" s="362"/>
      <c r="AA76" s="362"/>
      <c r="AB76" s="357"/>
      <c r="AC76" s="241"/>
    </row>
    <row r="77" spans="1:28" ht="12.75">
      <c r="A77" s="5"/>
      <c r="B77" s="1247" t="s">
        <v>160</v>
      </c>
      <c r="C77" s="1248"/>
      <c r="D77" s="1253">
        <v>79</v>
      </c>
      <c r="E77" s="1256">
        <f>D77/$D$84</f>
        <v>0.10141206675224647</v>
      </c>
      <c r="F77" s="1259">
        <v>20</v>
      </c>
      <c r="G77" s="1262">
        <f>F77/D77</f>
        <v>0.25316455696202533</v>
      </c>
      <c r="H77" s="1363">
        <f>(4*K5)+(2*L5)+(2*M5)+(5*P5)+(2*Q5)+(4*T5)+(2*AB5)</f>
        <v>5094.9800000000005</v>
      </c>
      <c r="I77" s="1238">
        <f>H77/H84</f>
        <v>0.09647460161229668</v>
      </c>
      <c r="J77" s="1356">
        <f>H77/D77</f>
        <v>64.493417721519</v>
      </c>
      <c r="K77" s="318">
        <v>824</v>
      </c>
      <c r="L77" s="319">
        <v>576</v>
      </c>
      <c r="M77" s="319">
        <v>979</v>
      </c>
      <c r="N77" s="319"/>
      <c r="O77" s="319"/>
      <c r="P77" s="321">
        <v>812</v>
      </c>
      <c r="Q77" s="321">
        <v>512</v>
      </c>
      <c r="R77" s="323"/>
      <c r="S77" s="365"/>
      <c r="T77" s="319">
        <v>267</v>
      </c>
      <c r="U77" s="322"/>
      <c r="V77" s="365"/>
      <c r="W77" s="322"/>
      <c r="X77" s="364"/>
      <c r="Y77" s="365"/>
      <c r="Z77" s="319"/>
      <c r="AA77" s="319"/>
      <c r="AB77" s="322">
        <v>738</v>
      </c>
    </row>
    <row r="78" spans="1:28" ht="12.75">
      <c r="A78" s="5"/>
      <c r="B78" s="1249"/>
      <c r="C78" s="1250"/>
      <c r="D78" s="1254"/>
      <c r="E78" s="1257"/>
      <c r="F78" s="1260"/>
      <c r="G78" s="1263"/>
      <c r="H78" s="1364"/>
      <c r="I78" s="1239"/>
      <c r="J78" s="1357"/>
      <c r="K78" s="354">
        <v>5</v>
      </c>
      <c r="L78" s="362">
        <v>288</v>
      </c>
      <c r="M78" s="362">
        <v>599</v>
      </c>
      <c r="N78" s="362"/>
      <c r="O78" s="362"/>
      <c r="P78" s="356">
        <v>372</v>
      </c>
      <c r="Q78" s="356">
        <v>512</v>
      </c>
      <c r="R78" s="358"/>
      <c r="S78" s="394"/>
      <c r="T78" s="362">
        <v>154</v>
      </c>
      <c r="U78" s="357"/>
      <c r="V78" s="394"/>
      <c r="W78" s="357"/>
      <c r="X78" s="395"/>
      <c r="Y78" s="394"/>
      <c r="Z78" s="362"/>
      <c r="AA78" s="362"/>
      <c r="AB78" s="357">
        <v>723</v>
      </c>
    </row>
    <row r="79" spans="1:28" ht="12.75">
      <c r="A79" s="5"/>
      <c r="B79" s="1249"/>
      <c r="C79" s="1250"/>
      <c r="D79" s="1254"/>
      <c r="E79" s="1257"/>
      <c r="F79" s="1260"/>
      <c r="G79" s="1263"/>
      <c r="H79" s="1364"/>
      <c r="I79" s="1239"/>
      <c r="J79" s="1357"/>
      <c r="K79" s="354">
        <v>32</v>
      </c>
      <c r="L79" s="362"/>
      <c r="M79" s="362"/>
      <c r="N79" s="362"/>
      <c r="O79" s="362"/>
      <c r="P79" s="356">
        <v>734</v>
      </c>
      <c r="Q79" s="356"/>
      <c r="R79" s="358"/>
      <c r="S79" s="394"/>
      <c r="T79" s="362">
        <v>569</v>
      </c>
      <c r="U79" s="357"/>
      <c r="V79" s="394"/>
      <c r="W79" s="357"/>
      <c r="X79" s="395"/>
      <c r="Y79" s="394"/>
      <c r="Z79" s="362"/>
      <c r="AA79" s="362"/>
      <c r="AB79" s="357"/>
    </row>
    <row r="80" spans="1:28" ht="12.75">
      <c r="A80" s="5"/>
      <c r="B80" s="1249"/>
      <c r="C80" s="1250"/>
      <c r="D80" s="1254"/>
      <c r="E80" s="1257"/>
      <c r="F80" s="1260"/>
      <c r="G80" s="1263"/>
      <c r="H80" s="1364"/>
      <c r="I80" s="1239"/>
      <c r="J80" s="1357"/>
      <c r="K80" s="354">
        <v>748</v>
      </c>
      <c r="L80" s="362"/>
      <c r="M80" s="362"/>
      <c r="N80" s="362"/>
      <c r="O80" s="362"/>
      <c r="P80" s="356">
        <v>797</v>
      </c>
      <c r="Q80" s="356"/>
      <c r="R80" s="358"/>
      <c r="S80" s="394"/>
      <c r="T80" s="362">
        <v>910</v>
      </c>
      <c r="U80" s="357"/>
      <c r="V80" s="394"/>
      <c r="W80" s="357"/>
      <c r="X80" s="395"/>
      <c r="Y80" s="394"/>
      <c r="Z80" s="362"/>
      <c r="AA80" s="362"/>
      <c r="AB80" s="357"/>
    </row>
    <row r="81" spans="1:28" ht="12.75">
      <c r="A81" s="5"/>
      <c r="B81" s="1359"/>
      <c r="C81" s="1360"/>
      <c r="D81" s="1361"/>
      <c r="E81" s="1362"/>
      <c r="F81" s="1260"/>
      <c r="G81" s="1263"/>
      <c r="H81" s="1364"/>
      <c r="I81" s="1239"/>
      <c r="J81" s="1357"/>
      <c r="K81" s="377"/>
      <c r="L81" s="379"/>
      <c r="M81" s="379"/>
      <c r="N81" s="379"/>
      <c r="O81" s="379"/>
      <c r="P81" s="380">
        <v>575</v>
      </c>
      <c r="Q81" s="380"/>
      <c r="R81" s="382"/>
      <c r="S81" s="442"/>
      <c r="T81" s="379"/>
      <c r="U81" s="381"/>
      <c r="V81" s="442"/>
      <c r="W81" s="381"/>
      <c r="X81" s="443"/>
      <c r="Y81" s="442"/>
      <c r="Z81" s="379"/>
      <c r="AA81" s="379"/>
      <c r="AB81" s="381"/>
    </row>
    <row r="82" spans="1:28" ht="15" thickBot="1">
      <c r="A82" s="5"/>
      <c r="B82" s="1251"/>
      <c r="C82" s="1252"/>
      <c r="D82" s="1255"/>
      <c r="E82" s="1258"/>
      <c r="F82" s="1261"/>
      <c r="G82" s="1264"/>
      <c r="H82" s="1365"/>
      <c r="I82" s="1240"/>
      <c r="J82" s="1358"/>
      <c r="K82" s="332"/>
      <c r="L82" s="339"/>
      <c r="M82" s="339"/>
      <c r="N82" s="339"/>
      <c r="O82" s="339"/>
      <c r="P82" s="335"/>
      <c r="Q82" s="335"/>
      <c r="R82" s="337"/>
      <c r="S82" s="392"/>
      <c r="T82" s="339"/>
      <c r="U82" s="336"/>
      <c r="V82" s="392"/>
      <c r="W82" s="336"/>
      <c r="X82" s="396"/>
      <c r="Y82" s="392"/>
      <c r="Z82" s="339"/>
      <c r="AA82" s="339"/>
      <c r="AB82" s="336"/>
    </row>
    <row r="83" spans="1:28" ht="25.5" customHeight="1" thickBot="1">
      <c r="A83" s="5"/>
      <c r="B83" s="1241" t="s">
        <v>45</v>
      </c>
      <c r="C83" s="1242"/>
      <c r="D83" s="397"/>
      <c r="E83" s="398"/>
      <c r="F83" s="397"/>
      <c r="G83" s="398"/>
      <c r="H83" s="399"/>
      <c r="I83" s="400"/>
      <c r="J83" s="400"/>
      <c r="K83" s="401">
        <v>38</v>
      </c>
      <c r="L83" s="406">
        <v>16</v>
      </c>
      <c r="M83" s="406">
        <v>29</v>
      </c>
      <c r="N83" s="406">
        <f aca="true" t="shared" si="0" ref="N83:Y83">COUNTIF(N6:N82,"&gt;0")</f>
        <v>8</v>
      </c>
      <c r="O83" s="406">
        <f t="shared" si="0"/>
        <v>2</v>
      </c>
      <c r="P83" s="444">
        <v>17</v>
      </c>
      <c r="Q83" s="444">
        <f t="shared" si="0"/>
        <v>2</v>
      </c>
      <c r="R83" s="445">
        <v>8</v>
      </c>
      <c r="S83" s="446">
        <f t="shared" si="0"/>
        <v>6</v>
      </c>
      <c r="T83" s="406">
        <f t="shared" si="0"/>
        <v>29</v>
      </c>
      <c r="U83" s="447">
        <f t="shared" si="0"/>
        <v>2</v>
      </c>
      <c r="V83" s="446">
        <v>7</v>
      </c>
      <c r="W83" s="444">
        <f t="shared" si="0"/>
        <v>5</v>
      </c>
      <c r="X83" s="445">
        <v>7</v>
      </c>
      <c r="Y83" s="446">
        <f t="shared" si="0"/>
        <v>6</v>
      </c>
      <c r="Z83" s="406">
        <v>24</v>
      </c>
      <c r="AA83" s="406">
        <f>COUNTIF(AA6:AA82,"&gt;0")</f>
        <v>1</v>
      </c>
      <c r="AB83" s="447">
        <v>10</v>
      </c>
    </row>
    <row r="84" spans="1:28" ht="26.25" customHeight="1" thickBot="1" thickTop="1">
      <c r="A84" s="5"/>
      <c r="B84" s="1243" t="s">
        <v>161</v>
      </c>
      <c r="C84" s="1244"/>
      <c r="D84" s="407">
        <f>SUM(D6:D82)</f>
        <v>779</v>
      </c>
      <c r="E84" s="408"/>
      <c r="F84" s="407">
        <f>SUM(F6:F82)</f>
        <v>213</v>
      </c>
      <c r="G84" s="409">
        <f>F84/D84</f>
        <v>0.2734274711168164</v>
      </c>
      <c r="H84" s="448">
        <f>SUM(H6:H82)</f>
        <v>52811.62000000001</v>
      </c>
      <c r="I84" s="449"/>
      <c r="J84" s="450"/>
      <c r="K84" s="451">
        <f aca="true" t="shared" si="1" ref="K84:P84">K5*K83</f>
        <v>14075.199999999999</v>
      </c>
      <c r="L84" s="451">
        <f t="shared" si="1"/>
        <v>3982.24</v>
      </c>
      <c r="M84" s="451">
        <f t="shared" si="1"/>
        <v>5969.36</v>
      </c>
      <c r="N84" s="451">
        <f t="shared" si="1"/>
        <v>1435.2</v>
      </c>
      <c r="O84" s="451">
        <f t="shared" si="1"/>
        <v>166.3</v>
      </c>
      <c r="P84" s="451">
        <f t="shared" si="1"/>
        <v>3974.6000000000004</v>
      </c>
      <c r="Q84" s="451">
        <f>Q83*Q5</f>
        <v>199.32</v>
      </c>
      <c r="R84" s="451">
        <f aca="true" t="shared" si="2" ref="R84:AB84">R5*R83</f>
        <v>5879.2</v>
      </c>
      <c r="S84" s="451">
        <f t="shared" si="2"/>
        <v>1290</v>
      </c>
      <c r="T84" s="451">
        <f t="shared" si="2"/>
        <v>5333.1</v>
      </c>
      <c r="U84" s="451">
        <f t="shared" si="2"/>
        <v>279</v>
      </c>
      <c r="V84" s="451">
        <f t="shared" si="2"/>
        <v>857.5</v>
      </c>
      <c r="W84" s="451">
        <f t="shared" si="2"/>
        <v>648.5</v>
      </c>
      <c r="X84" s="451">
        <f t="shared" si="2"/>
        <v>582.0500000000001</v>
      </c>
      <c r="Y84" s="451">
        <f t="shared" si="2"/>
        <v>1800</v>
      </c>
      <c r="Z84" s="451">
        <f t="shared" si="2"/>
        <v>3973.2000000000003</v>
      </c>
      <c r="AA84" s="451">
        <f t="shared" si="2"/>
        <v>300</v>
      </c>
      <c r="AB84" s="451">
        <f t="shared" si="2"/>
        <v>3000</v>
      </c>
    </row>
    <row r="85" spans="2:28" ht="15" customHeight="1" thickBot="1" thickTop="1">
      <c r="B85" s="412"/>
      <c r="C85" s="412"/>
      <c r="D85" s="412"/>
      <c r="E85" s="412"/>
      <c r="F85" s="412"/>
      <c r="G85" s="413"/>
      <c r="H85" s="412"/>
      <c r="I85" s="413"/>
      <c r="J85" s="413"/>
      <c r="K85" s="412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12"/>
      <c r="AA85" s="412"/>
      <c r="AB85" s="412"/>
    </row>
    <row r="86" spans="2:28" ht="22.5" thickBot="1" thickTop="1">
      <c r="B86" s="1245" t="s">
        <v>58</v>
      </c>
      <c r="C86" s="1246"/>
      <c r="D86" s="1246"/>
      <c r="E86" s="1246"/>
      <c r="F86" s="1246"/>
      <c r="G86" s="1246"/>
      <c r="H86" s="1246"/>
      <c r="I86" s="1246"/>
      <c r="J86" s="1246"/>
      <c r="K86" s="1246"/>
      <c r="L86" s="1246"/>
      <c r="M86" s="414">
        <f>SUM(F6:F82)</f>
        <v>213</v>
      </c>
      <c r="N86" s="415"/>
      <c r="O86" s="416"/>
      <c r="P86" s="415"/>
      <c r="Q86" s="415"/>
      <c r="R86" s="415"/>
      <c r="S86" s="415"/>
      <c r="T86" s="415"/>
      <c r="U86" s="415"/>
      <c r="V86" s="415"/>
      <c r="W86" s="415"/>
      <c r="X86" s="415"/>
      <c r="Y86" s="415"/>
      <c r="Z86" s="417"/>
      <c r="AA86" s="415"/>
      <c r="AB86" s="415"/>
    </row>
    <row r="87" ht="13.5" thickTop="1"/>
  </sheetData>
  <sheetProtection/>
  <mergeCells count="196">
    <mergeCell ref="B2:C3"/>
    <mergeCell ref="D2:D3"/>
    <mergeCell ref="E2:E3"/>
    <mergeCell ref="F2:F3"/>
    <mergeCell ref="G2:G3"/>
    <mergeCell ref="H2:H3"/>
    <mergeCell ref="I2:I3"/>
    <mergeCell ref="J2:J3"/>
    <mergeCell ref="K2:Q2"/>
    <mergeCell ref="R2:R3"/>
    <mergeCell ref="S2:U2"/>
    <mergeCell ref="V2:W2"/>
    <mergeCell ref="X2:X3"/>
    <mergeCell ref="Y2:AB2"/>
    <mergeCell ref="B4:C4"/>
    <mergeCell ref="B5:C5"/>
    <mergeCell ref="B6:C8"/>
    <mergeCell ref="D6:D8"/>
    <mergeCell ref="E6:E8"/>
    <mergeCell ref="F6:F8"/>
    <mergeCell ref="G6:G8"/>
    <mergeCell ref="H6:H8"/>
    <mergeCell ref="I6:I8"/>
    <mergeCell ref="J6:J8"/>
    <mergeCell ref="B9:C11"/>
    <mergeCell ref="D9:D11"/>
    <mergeCell ref="E9:E11"/>
    <mergeCell ref="F9:F11"/>
    <mergeCell ref="G9:G11"/>
    <mergeCell ref="H9:H11"/>
    <mergeCell ref="I9:I11"/>
    <mergeCell ref="J9:J11"/>
    <mergeCell ref="B12:C17"/>
    <mergeCell ref="D12:D17"/>
    <mergeCell ref="E12:E17"/>
    <mergeCell ref="F12:F17"/>
    <mergeCell ref="G12:G17"/>
    <mergeCell ref="H12:H17"/>
    <mergeCell ref="I12:I17"/>
    <mergeCell ref="J12:J17"/>
    <mergeCell ref="B18:C19"/>
    <mergeCell ref="D18:D19"/>
    <mergeCell ref="E18:E19"/>
    <mergeCell ref="F18:F19"/>
    <mergeCell ref="G18:G19"/>
    <mergeCell ref="H18:H19"/>
    <mergeCell ref="I18:I19"/>
    <mergeCell ref="J18:J19"/>
    <mergeCell ref="B20:C22"/>
    <mergeCell ref="D20:D22"/>
    <mergeCell ref="E20:E22"/>
    <mergeCell ref="F20:F22"/>
    <mergeCell ref="G20:G22"/>
    <mergeCell ref="H20:H22"/>
    <mergeCell ref="I20:I22"/>
    <mergeCell ref="J20:J22"/>
    <mergeCell ref="B23:C28"/>
    <mergeCell ref="D23:D28"/>
    <mergeCell ref="E23:E28"/>
    <mergeCell ref="F23:F28"/>
    <mergeCell ref="G23:G28"/>
    <mergeCell ref="H23:H28"/>
    <mergeCell ref="I23:I28"/>
    <mergeCell ref="J23:J28"/>
    <mergeCell ref="B29:C31"/>
    <mergeCell ref="D29:D31"/>
    <mergeCell ref="E29:E31"/>
    <mergeCell ref="F29:F31"/>
    <mergeCell ref="G29:G31"/>
    <mergeCell ref="H29:H31"/>
    <mergeCell ref="I29:I31"/>
    <mergeCell ref="J29:J31"/>
    <mergeCell ref="AC29:AC31"/>
    <mergeCell ref="B32:C33"/>
    <mergeCell ref="D32:D33"/>
    <mergeCell ref="E32:E33"/>
    <mergeCell ref="F32:F33"/>
    <mergeCell ref="G32:G33"/>
    <mergeCell ref="H32:H33"/>
    <mergeCell ref="I32:I33"/>
    <mergeCell ref="J32:J33"/>
    <mergeCell ref="B34:C35"/>
    <mergeCell ref="D34:D35"/>
    <mergeCell ref="E34:E35"/>
    <mergeCell ref="F34:F35"/>
    <mergeCell ref="G34:G35"/>
    <mergeCell ref="H34:H35"/>
    <mergeCell ref="I34:I35"/>
    <mergeCell ref="J34:J35"/>
    <mergeCell ref="B36:C38"/>
    <mergeCell ref="D36:D38"/>
    <mergeCell ref="E36:E38"/>
    <mergeCell ref="F36:F38"/>
    <mergeCell ref="G36:G38"/>
    <mergeCell ref="H36:H38"/>
    <mergeCell ref="I36:I38"/>
    <mergeCell ref="J36:J38"/>
    <mergeCell ref="B39:C41"/>
    <mergeCell ref="D39:D41"/>
    <mergeCell ref="E39:E41"/>
    <mergeCell ref="F39:F41"/>
    <mergeCell ref="G39:G41"/>
    <mergeCell ref="H39:H41"/>
    <mergeCell ref="I39:I41"/>
    <mergeCell ref="J39:J41"/>
    <mergeCell ref="B42:C45"/>
    <mergeCell ref="D42:D45"/>
    <mergeCell ref="E42:E45"/>
    <mergeCell ref="F42:F45"/>
    <mergeCell ref="G42:G45"/>
    <mergeCell ref="H42:H45"/>
    <mergeCell ref="I42:I45"/>
    <mergeCell ref="J42:J45"/>
    <mergeCell ref="B46:C50"/>
    <mergeCell ref="D46:D50"/>
    <mergeCell ref="E46:E50"/>
    <mergeCell ref="F46:F50"/>
    <mergeCell ref="G46:G50"/>
    <mergeCell ref="H46:H50"/>
    <mergeCell ref="I46:I50"/>
    <mergeCell ref="J46:J50"/>
    <mergeCell ref="B51:C53"/>
    <mergeCell ref="D51:D53"/>
    <mergeCell ref="E51:E53"/>
    <mergeCell ref="F51:F53"/>
    <mergeCell ref="G51:G53"/>
    <mergeCell ref="H51:H53"/>
    <mergeCell ref="I51:I53"/>
    <mergeCell ref="J51:J53"/>
    <mergeCell ref="B54:C55"/>
    <mergeCell ref="D54:D55"/>
    <mergeCell ref="E54:E55"/>
    <mergeCell ref="F54:F55"/>
    <mergeCell ref="G54:G55"/>
    <mergeCell ref="H54:H55"/>
    <mergeCell ref="I54:I55"/>
    <mergeCell ref="J54:J55"/>
    <mergeCell ref="B56:C57"/>
    <mergeCell ref="D56:D57"/>
    <mergeCell ref="E56:E57"/>
    <mergeCell ref="F56:F57"/>
    <mergeCell ref="G56:G57"/>
    <mergeCell ref="H56:H57"/>
    <mergeCell ref="I56:I57"/>
    <mergeCell ref="J56:J57"/>
    <mergeCell ref="B58:C60"/>
    <mergeCell ref="D58:D60"/>
    <mergeCell ref="E58:E60"/>
    <mergeCell ref="F58:F60"/>
    <mergeCell ref="G58:G60"/>
    <mergeCell ref="H58:H60"/>
    <mergeCell ref="I58:I60"/>
    <mergeCell ref="J58:J60"/>
    <mergeCell ref="B61:C62"/>
    <mergeCell ref="D61:D62"/>
    <mergeCell ref="E61:E62"/>
    <mergeCell ref="F61:F62"/>
    <mergeCell ref="G61:G62"/>
    <mergeCell ref="H61:H62"/>
    <mergeCell ref="I61:I62"/>
    <mergeCell ref="J61:J62"/>
    <mergeCell ref="B63:C66"/>
    <mergeCell ref="D63:D66"/>
    <mergeCell ref="E63:E66"/>
    <mergeCell ref="F63:F66"/>
    <mergeCell ref="G63:G66"/>
    <mergeCell ref="H63:H66"/>
    <mergeCell ref="I63:I66"/>
    <mergeCell ref="J63:J66"/>
    <mergeCell ref="J73:J76"/>
    <mergeCell ref="B67:C72"/>
    <mergeCell ref="D67:D72"/>
    <mergeCell ref="E67:E72"/>
    <mergeCell ref="F67:F72"/>
    <mergeCell ref="G67:G72"/>
    <mergeCell ref="H67:H72"/>
    <mergeCell ref="H77:H82"/>
    <mergeCell ref="I67:I72"/>
    <mergeCell ref="J67:J72"/>
    <mergeCell ref="B73:C76"/>
    <mergeCell ref="D73:D76"/>
    <mergeCell ref="E73:E76"/>
    <mergeCell ref="F73:F76"/>
    <mergeCell ref="G73:G76"/>
    <mergeCell ref="H73:H76"/>
    <mergeCell ref="I73:I76"/>
    <mergeCell ref="I77:I82"/>
    <mergeCell ref="J77:J82"/>
    <mergeCell ref="B83:C83"/>
    <mergeCell ref="B84:C84"/>
    <mergeCell ref="B86:L86"/>
    <mergeCell ref="B77:C82"/>
    <mergeCell ref="D77:D82"/>
    <mergeCell ref="E77:E82"/>
    <mergeCell ref="F77:F82"/>
    <mergeCell ref="G77:G82"/>
  </mergeCells>
  <printOptions/>
  <pageMargins left="0.4724409448818898" right="0.1968503937007874" top="0.15748031496062992" bottom="0.31496062992125984" header="0.2755905511811024" footer="0.31496062992125984"/>
  <pageSetup horizontalDpi="600" verticalDpi="600" orientation="landscape" paperSize="8" scale="63"/>
  <headerFooter alignWithMargins="0">
    <oddFooter>&amp;C&amp;D&amp;R&amp;"Calibri,Gras"&amp;12DOTATIONS MATERIELS CLUBS 2012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E87"/>
  <sheetViews>
    <sheetView showGridLines="0" zoomScalePageLayoutView="0" workbookViewId="0" topLeftCell="A1">
      <pane ySplit="5" topLeftCell="A61" activePane="bottomLeft" state="frozen"/>
      <selection pane="topLeft" activeCell="K1" sqref="K1"/>
      <selection pane="bottomLeft" activeCell="A88" sqref="A88:IV88"/>
    </sheetView>
  </sheetViews>
  <sheetFormatPr defaultColWidth="11.421875" defaultRowHeight="12.75"/>
  <cols>
    <col min="1" max="1" width="2.421875" style="0" customWidth="1"/>
    <col min="2" max="2" width="12.7109375" style="0" customWidth="1"/>
    <col min="3" max="3" width="10.00390625" style="0" customWidth="1"/>
    <col min="4" max="4" width="9.28125" style="188" customWidth="1"/>
    <col min="5" max="5" width="10.421875" style="188" bestFit="1" customWidth="1"/>
    <col min="6" max="6" width="7.8515625" style="188" bestFit="1" customWidth="1"/>
    <col min="7" max="7" width="11.8515625" style="418" bestFit="1" customWidth="1"/>
    <col min="8" max="8" width="11.00390625" style="188" bestFit="1" customWidth="1"/>
    <col min="9" max="9" width="10.28125" style="418" bestFit="1" customWidth="1"/>
    <col min="10" max="10" width="9.00390625" style="418" bestFit="1" customWidth="1"/>
    <col min="11" max="11" width="16.140625" style="10" bestFit="1" customWidth="1"/>
    <col min="12" max="12" width="11.140625" style="10" bestFit="1" customWidth="1"/>
    <col min="13" max="13" width="16.140625" style="10" bestFit="1" customWidth="1"/>
    <col min="14" max="14" width="15.8515625" style="10" customWidth="1"/>
    <col min="15" max="15" width="12.421875" style="10" bestFit="1" customWidth="1"/>
    <col min="16" max="16" width="9.28125" style="10" bestFit="1" customWidth="1"/>
    <col min="17" max="17" width="13.421875" style="10" bestFit="1" customWidth="1"/>
    <col min="18" max="18" width="12.421875" style="10" bestFit="1" customWidth="1"/>
    <col min="19" max="19" width="12.421875" style="10" customWidth="1"/>
    <col min="20" max="20" width="11.140625" style="10" bestFit="1" customWidth="1"/>
    <col min="21" max="21" width="11.140625" style="10" customWidth="1"/>
    <col min="22" max="22" width="13.7109375" style="10" bestFit="1" customWidth="1"/>
    <col min="23" max="23" width="11.28125" style="10" customWidth="1"/>
    <col min="24" max="24" width="10.8515625" style="10" customWidth="1"/>
    <col min="25" max="25" width="9.421875" style="10" bestFit="1" customWidth="1"/>
    <col min="26" max="26" width="10.28125" style="10" bestFit="1" customWidth="1"/>
    <col min="27" max="27" width="11.140625" style="192" bestFit="1" customWidth="1"/>
    <col min="28" max="28" width="8.00390625" style="10" bestFit="1" customWidth="1"/>
    <col min="29" max="29" width="14.421875" style="10" bestFit="1" customWidth="1"/>
  </cols>
  <sheetData>
    <row r="1" spans="2:10" ht="16.5" thickBot="1">
      <c r="B1" s="5"/>
      <c r="C1" s="5"/>
      <c r="D1" s="184"/>
      <c r="E1" s="184"/>
      <c r="F1" s="184"/>
      <c r="G1" s="286"/>
      <c r="H1" s="184"/>
      <c r="I1" s="286"/>
      <c r="J1" s="419"/>
    </row>
    <row r="2" spans="1:29" ht="29.25" customHeight="1" thickBot="1">
      <c r="A2" s="5"/>
      <c r="B2" s="1520" t="s">
        <v>21</v>
      </c>
      <c r="C2" s="1521"/>
      <c r="D2" s="1524" t="s">
        <v>174</v>
      </c>
      <c r="E2" s="1512" t="s">
        <v>120</v>
      </c>
      <c r="F2" s="1527" t="s">
        <v>121</v>
      </c>
      <c r="G2" s="1512" t="s">
        <v>122</v>
      </c>
      <c r="H2" s="1524" t="s">
        <v>123</v>
      </c>
      <c r="I2" s="1512" t="s">
        <v>124</v>
      </c>
      <c r="J2" s="1514" t="s">
        <v>163</v>
      </c>
      <c r="K2" s="1516" t="s">
        <v>0</v>
      </c>
      <c r="L2" s="1517"/>
      <c r="M2" s="1517"/>
      <c r="N2" s="1517"/>
      <c r="O2" s="1517"/>
      <c r="P2" s="1517"/>
      <c r="Q2" s="1517"/>
      <c r="R2" s="1442" t="s">
        <v>125</v>
      </c>
      <c r="S2" s="1518"/>
      <c r="T2" s="1500" t="s">
        <v>1</v>
      </c>
      <c r="U2" s="1500"/>
      <c r="V2" s="1501"/>
      <c r="W2" s="1500" t="s">
        <v>2</v>
      </c>
      <c r="X2" s="1519"/>
      <c r="Y2" s="1498" t="s">
        <v>126</v>
      </c>
      <c r="Z2" s="1500" t="s">
        <v>3</v>
      </c>
      <c r="AA2" s="1501"/>
      <c r="AB2" s="1501"/>
      <c r="AC2" s="1502"/>
    </row>
    <row r="3" spans="1:31" ht="66.75" customHeight="1" thickBot="1">
      <c r="A3" s="193"/>
      <c r="B3" s="1522"/>
      <c r="C3" s="1523"/>
      <c r="D3" s="1525"/>
      <c r="E3" s="1526"/>
      <c r="F3" s="1528"/>
      <c r="G3" s="1526"/>
      <c r="H3" s="1525"/>
      <c r="I3" s="1513"/>
      <c r="J3" s="1515"/>
      <c r="K3" s="452" t="s">
        <v>4</v>
      </c>
      <c r="L3" s="453" t="s">
        <v>127</v>
      </c>
      <c r="M3" s="453" t="s">
        <v>5</v>
      </c>
      <c r="N3" s="453" t="s">
        <v>175</v>
      </c>
      <c r="O3" s="453" t="s">
        <v>7</v>
      </c>
      <c r="P3" s="453" t="s">
        <v>8</v>
      </c>
      <c r="Q3" s="454" t="s">
        <v>164</v>
      </c>
      <c r="R3" s="455" t="s">
        <v>176</v>
      </c>
      <c r="S3" s="456" t="s">
        <v>177</v>
      </c>
      <c r="T3" s="457" t="s">
        <v>11</v>
      </c>
      <c r="U3" s="458" t="s">
        <v>13</v>
      </c>
      <c r="V3" s="453" t="s">
        <v>178</v>
      </c>
      <c r="W3" s="457" t="s">
        <v>14</v>
      </c>
      <c r="X3" s="459" t="s">
        <v>15</v>
      </c>
      <c r="Y3" s="1499"/>
      <c r="Z3" s="457" t="s">
        <v>17</v>
      </c>
      <c r="AA3" s="460" t="s">
        <v>18</v>
      </c>
      <c r="AB3" s="453" t="s">
        <v>19</v>
      </c>
      <c r="AC3" s="461" t="s">
        <v>20</v>
      </c>
      <c r="AD3" s="3"/>
      <c r="AE3" s="3"/>
    </row>
    <row r="4" spans="1:31" s="472" customFormat="1" ht="24.75" customHeight="1" thickBot="1">
      <c r="A4" s="241"/>
      <c r="B4" s="1503" t="s">
        <v>129</v>
      </c>
      <c r="C4" s="1504"/>
      <c r="D4" s="462"/>
      <c r="E4" s="463"/>
      <c r="F4" s="464"/>
      <c r="G4" s="465"/>
      <c r="H4" s="462"/>
      <c r="I4" s="465"/>
      <c r="J4" s="466"/>
      <c r="K4" s="457" t="s">
        <v>179</v>
      </c>
      <c r="L4" s="453" t="s">
        <v>180</v>
      </c>
      <c r="M4" s="453" t="s">
        <v>179</v>
      </c>
      <c r="N4" s="453" t="s">
        <v>181</v>
      </c>
      <c r="O4" s="453" t="s">
        <v>182</v>
      </c>
      <c r="P4" s="453" t="s">
        <v>183</v>
      </c>
      <c r="Q4" s="453" t="s">
        <v>184</v>
      </c>
      <c r="R4" s="462" t="s">
        <v>54</v>
      </c>
      <c r="S4" s="458" t="s">
        <v>185</v>
      </c>
      <c r="T4" s="467" t="s">
        <v>54</v>
      </c>
      <c r="U4" s="467" t="s">
        <v>168</v>
      </c>
      <c r="V4" s="468" t="s">
        <v>186</v>
      </c>
      <c r="W4" s="467" t="s">
        <v>136</v>
      </c>
      <c r="X4" s="458" t="s">
        <v>136</v>
      </c>
      <c r="Y4" s="469" t="s">
        <v>136</v>
      </c>
      <c r="Z4" s="467" t="s">
        <v>134</v>
      </c>
      <c r="AA4" s="470" t="s">
        <v>137</v>
      </c>
      <c r="AB4" s="471" t="s">
        <v>134</v>
      </c>
      <c r="AC4" s="458" t="s">
        <v>134</v>
      </c>
      <c r="AD4" s="3"/>
      <c r="AE4" s="3"/>
    </row>
    <row r="5" spans="1:31" ht="33.75" customHeight="1" thickBot="1">
      <c r="A5" s="193"/>
      <c r="B5" s="1505" t="s">
        <v>138</v>
      </c>
      <c r="C5" s="1506"/>
      <c r="D5" s="473"/>
      <c r="E5" s="474"/>
      <c r="F5" s="473"/>
      <c r="G5" s="475"/>
      <c r="H5" s="476"/>
      <c r="I5" s="477"/>
      <c r="J5" s="475"/>
      <c r="K5" s="478">
        <v>350.64</v>
      </c>
      <c r="L5" s="479">
        <v>236.78</v>
      </c>
      <c r="M5" s="479">
        <v>175.64</v>
      </c>
      <c r="N5" s="479">
        <v>318</v>
      </c>
      <c r="O5" s="479">
        <v>185.38</v>
      </c>
      <c r="P5" s="479">
        <v>71.76</v>
      </c>
      <c r="Q5" s="480">
        <v>235</v>
      </c>
      <c r="R5" s="481">
        <v>702.69</v>
      </c>
      <c r="S5" s="482">
        <v>394.25</v>
      </c>
      <c r="T5" s="478">
        <v>122</v>
      </c>
      <c r="U5" s="478">
        <v>113.02</v>
      </c>
      <c r="V5" s="479">
        <v>366.36</v>
      </c>
      <c r="W5" s="478">
        <v>113.86</v>
      </c>
      <c r="X5" s="480">
        <v>240.38</v>
      </c>
      <c r="Y5" s="483">
        <v>86.71</v>
      </c>
      <c r="Z5" s="478">
        <v>300</v>
      </c>
      <c r="AA5" s="479">
        <v>175</v>
      </c>
      <c r="AB5" s="479">
        <v>300</v>
      </c>
      <c r="AC5" s="482">
        <v>300</v>
      </c>
      <c r="AD5" s="3"/>
      <c r="AE5" s="3"/>
    </row>
    <row r="6" spans="2:29" s="5" customFormat="1" ht="12.75">
      <c r="B6" s="1477" t="s">
        <v>139</v>
      </c>
      <c r="C6" s="1478"/>
      <c r="D6" s="1509">
        <v>14</v>
      </c>
      <c r="E6" s="1464">
        <f>D6/$D$85</f>
        <v>0.0175</v>
      </c>
      <c r="F6" s="1461">
        <v>1</v>
      </c>
      <c r="G6" s="1464">
        <f>F6/D6</f>
        <v>0.07142857142857142</v>
      </c>
      <c r="H6" s="1467"/>
      <c r="I6" s="1446">
        <f>H6/H85</f>
        <v>0</v>
      </c>
      <c r="J6" s="1470">
        <f>H6/D6</f>
        <v>0</v>
      </c>
      <c r="K6" s="484"/>
      <c r="L6" s="485"/>
      <c r="M6" s="486"/>
      <c r="N6" s="486"/>
      <c r="O6" s="486"/>
      <c r="P6" s="486"/>
      <c r="Q6" s="487"/>
      <c r="R6" s="488"/>
      <c r="S6" s="489"/>
      <c r="T6" s="484"/>
      <c r="U6" s="484"/>
      <c r="V6" s="486"/>
      <c r="W6" s="484"/>
      <c r="X6" s="487"/>
      <c r="Y6" s="490"/>
      <c r="Z6" s="484"/>
      <c r="AA6" s="485"/>
      <c r="AB6" s="485"/>
      <c r="AC6" s="489">
        <v>188</v>
      </c>
    </row>
    <row r="7" spans="2:29" s="5" customFormat="1" ht="12.75">
      <c r="B7" s="1507"/>
      <c r="C7" s="1508"/>
      <c r="D7" s="1510"/>
      <c r="E7" s="1465"/>
      <c r="F7" s="1462"/>
      <c r="G7" s="1465"/>
      <c r="H7" s="1468"/>
      <c r="I7" s="1447"/>
      <c r="J7" s="1471"/>
      <c r="K7" s="491"/>
      <c r="L7" s="492"/>
      <c r="M7" s="493"/>
      <c r="N7" s="493"/>
      <c r="O7" s="493"/>
      <c r="P7" s="493"/>
      <c r="Q7" s="494"/>
      <c r="R7" s="495"/>
      <c r="S7" s="496"/>
      <c r="T7" s="491"/>
      <c r="U7" s="491"/>
      <c r="V7" s="493"/>
      <c r="W7" s="491"/>
      <c r="X7" s="494"/>
      <c r="Y7" s="497"/>
      <c r="Z7" s="491"/>
      <c r="AA7" s="492"/>
      <c r="AB7" s="492"/>
      <c r="AC7" s="496"/>
    </row>
    <row r="8" spans="2:29" s="1" customFormat="1" ht="13.5" thickBot="1">
      <c r="B8" s="1479"/>
      <c r="C8" s="1480"/>
      <c r="D8" s="1511"/>
      <c r="E8" s="1466"/>
      <c r="F8" s="1463"/>
      <c r="G8" s="1466"/>
      <c r="H8" s="1469"/>
      <c r="I8" s="1448"/>
      <c r="J8" s="1472"/>
      <c r="K8" s="498"/>
      <c r="L8" s="499"/>
      <c r="M8" s="500"/>
      <c r="N8" s="500"/>
      <c r="O8" s="500"/>
      <c r="P8" s="500"/>
      <c r="Q8" s="501"/>
      <c r="R8" s="502"/>
      <c r="S8" s="503"/>
      <c r="T8" s="498"/>
      <c r="U8" s="498"/>
      <c r="V8" s="500"/>
      <c r="W8" s="498"/>
      <c r="X8" s="501"/>
      <c r="Y8" s="504"/>
      <c r="Z8" s="498"/>
      <c r="AA8" s="505"/>
      <c r="AB8" s="505"/>
      <c r="AC8" s="503"/>
    </row>
    <row r="9" spans="2:29" s="1" customFormat="1" ht="12.75">
      <c r="B9" s="1424" t="s">
        <v>140</v>
      </c>
      <c r="C9" s="1494"/>
      <c r="D9" s="1415">
        <v>35</v>
      </c>
      <c r="E9" s="1418">
        <f>D9/$D$85</f>
        <v>0.04375</v>
      </c>
      <c r="F9" s="1415">
        <v>7</v>
      </c>
      <c r="G9" s="1418">
        <f>F9/D9</f>
        <v>0.2</v>
      </c>
      <c r="H9" s="1481">
        <f>(1*K5)+(3*M5)+(1*O5)+(1*P5)+(1*AC5)</f>
        <v>1434.7</v>
      </c>
      <c r="I9" s="1387">
        <f>H9/H85</f>
        <v>0.02697915626529648</v>
      </c>
      <c r="J9" s="1390">
        <f>H9/D9</f>
        <v>40.99142857142857</v>
      </c>
      <c r="K9" s="506">
        <v>617</v>
      </c>
      <c r="L9" s="507"/>
      <c r="M9" s="486">
        <v>393</v>
      </c>
      <c r="N9" s="486"/>
      <c r="O9" s="486"/>
      <c r="P9" s="486">
        <v>135</v>
      </c>
      <c r="Q9" s="487"/>
      <c r="R9" s="488"/>
      <c r="S9" s="489"/>
      <c r="T9" s="484"/>
      <c r="U9" s="484"/>
      <c r="V9" s="486"/>
      <c r="W9" s="484"/>
      <c r="X9" s="487"/>
      <c r="Y9" s="490"/>
      <c r="Z9" s="484"/>
      <c r="AA9" s="485"/>
      <c r="AB9" s="485">
        <v>728</v>
      </c>
      <c r="AC9" s="489"/>
    </row>
    <row r="10" spans="2:29" s="1" customFormat="1" ht="12.75">
      <c r="B10" s="1432"/>
      <c r="C10" s="1495"/>
      <c r="D10" s="1416"/>
      <c r="E10" s="1419"/>
      <c r="F10" s="1416"/>
      <c r="G10" s="1419"/>
      <c r="H10" s="1497"/>
      <c r="I10" s="1388"/>
      <c r="J10" s="1391"/>
      <c r="K10" s="508"/>
      <c r="L10" s="509"/>
      <c r="M10" s="510">
        <v>248</v>
      </c>
      <c r="N10" s="510"/>
      <c r="O10" s="510">
        <v>947</v>
      </c>
      <c r="P10" s="510"/>
      <c r="Q10" s="511"/>
      <c r="R10" s="512"/>
      <c r="S10" s="513"/>
      <c r="T10" s="514"/>
      <c r="U10" s="514"/>
      <c r="V10" s="510"/>
      <c r="W10" s="514"/>
      <c r="X10" s="511"/>
      <c r="Y10" s="515"/>
      <c r="Z10" s="514"/>
      <c r="AA10" s="516"/>
      <c r="AB10" s="516"/>
      <c r="AC10" s="513"/>
    </row>
    <row r="11" spans="2:29" s="1" customFormat="1" ht="13.5" thickBot="1">
      <c r="B11" s="1436"/>
      <c r="C11" s="1496"/>
      <c r="D11" s="1417"/>
      <c r="E11" s="1420"/>
      <c r="F11" s="1417"/>
      <c r="G11" s="1420"/>
      <c r="H11" s="1482"/>
      <c r="I11" s="1389"/>
      <c r="J11" s="1392"/>
      <c r="K11" s="517"/>
      <c r="L11" s="518"/>
      <c r="M11" s="518">
        <v>914</v>
      </c>
      <c r="N11" s="518"/>
      <c r="O11" s="518"/>
      <c r="P11" s="518"/>
      <c r="Q11" s="519"/>
      <c r="R11" s="520"/>
      <c r="S11" s="521"/>
      <c r="T11" s="517"/>
      <c r="U11" s="517"/>
      <c r="V11" s="518"/>
      <c r="W11" s="517"/>
      <c r="X11" s="519"/>
      <c r="Y11" s="522"/>
      <c r="Z11" s="517"/>
      <c r="AA11" s="518"/>
      <c r="AB11" s="518"/>
      <c r="AC11" s="521"/>
    </row>
    <row r="12" spans="1:29" s="6" customFormat="1" ht="12.75">
      <c r="A12" s="1"/>
      <c r="B12" s="1432" t="s">
        <v>141</v>
      </c>
      <c r="C12" s="1433"/>
      <c r="D12" s="1434">
        <v>60</v>
      </c>
      <c r="E12" s="1419">
        <f>D12/$D$85</f>
        <v>0.075</v>
      </c>
      <c r="F12" s="1415">
        <v>19</v>
      </c>
      <c r="G12" s="1418">
        <f>F12/D12</f>
        <v>0.31666666666666665</v>
      </c>
      <c r="H12" s="1481">
        <f>(5*K5)+(1*N5)+(1*O5)+(1*P5)+(2*Q5)+(1*T5)+(1*U5)+(1*V5)+(2*W5)+(1*Y5)+(2*AA5)+(1*AC5)</f>
        <v>4364.15</v>
      </c>
      <c r="I12" s="1387">
        <f>H12/H85</f>
        <v>0.08206669325656488</v>
      </c>
      <c r="J12" s="1390">
        <f>H12/D12</f>
        <v>72.73583333333333</v>
      </c>
      <c r="K12" s="523">
        <v>447</v>
      </c>
      <c r="L12" s="524"/>
      <c r="M12" s="524"/>
      <c r="N12" s="524">
        <v>128</v>
      </c>
      <c r="O12" s="524">
        <v>155</v>
      </c>
      <c r="P12" s="524">
        <v>198</v>
      </c>
      <c r="Q12" s="525">
        <v>400</v>
      </c>
      <c r="R12" s="526"/>
      <c r="S12" s="527"/>
      <c r="T12" s="523">
        <v>670</v>
      </c>
      <c r="U12" s="523">
        <v>255</v>
      </c>
      <c r="V12" s="524">
        <v>343</v>
      </c>
      <c r="W12" s="523">
        <v>819</v>
      </c>
      <c r="X12" s="525"/>
      <c r="Y12" s="528">
        <v>907</v>
      </c>
      <c r="Z12" s="523"/>
      <c r="AA12" s="524">
        <v>654</v>
      </c>
      <c r="AB12" s="524"/>
      <c r="AC12" s="527">
        <v>618</v>
      </c>
    </row>
    <row r="13" spans="1:29" s="6" customFormat="1" ht="12.75">
      <c r="A13" s="1"/>
      <c r="B13" s="1432"/>
      <c r="C13" s="1433"/>
      <c r="D13" s="1434"/>
      <c r="E13" s="1419"/>
      <c r="F13" s="1416"/>
      <c r="G13" s="1419"/>
      <c r="H13" s="1430"/>
      <c r="I13" s="1388"/>
      <c r="J13" s="1391"/>
      <c r="K13" s="514">
        <v>602</v>
      </c>
      <c r="L13" s="510"/>
      <c r="M13" s="510"/>
      <c r="N13" s="510"/>
      <c r="O13" s="510"/>
      <c r="P13" s="510"/>
      <c r="Q13" s="511">
        <v>467</v>
      </c>
      <c r="R13" s="512"/>
      <c r="S13" s="513"/>
      <c r="T13" s="514"/>
      <c r="U13" s="514"/>
      <c r="V13" s="510"/>
      <c r="W13" s="529">
        <v>401</v>
      </c>
      <c r="X13" s="530"/>
      <c r="Y13" s="515"/>
      <c r="Z13" s="514"/>
      <c r="AA13" s="510">
        <v>61</v>
      </c>
      <c r="AB13" s="510"/>
      <c r="AC13" s="513"/>
    </row>
    <row r="14" spans="1:29" s="6" customFormat="1" ht="12.75">
      <c r="A14" s="1"/>
      <c r="B14" s="1432"/>
      <c r="C14" s="1433"/>
      <c r="D14" s="1434"/>
      <c r="E14" s="1419"/>
      <c r="F14" s="1416"/>
      <c r="G14" s="1419"/>
      <c r="H14" s="1430"/>
      <c r="I14" s="1388"/>
      <c r="J14" s="1391"/>
      <c r="K14" s="514">
        <v>556</v>
      </c>
      <c r="L14" s="510"/>
      <c r="M14" s="510"/>
      <c r="N14" s="510"/>
      <c r="O14" s="510"/>
      <c r="P14" s="510"/>
      <c r="Q14" s="511"/>
      <c r="R14" s="512"/>
      <c r="S14" s="513"/>
      <c r="T14" s="514"/>
      <c r="U14" s="514"/>
      <c r="V14" s="510"/>
      <c r="W14" s="529"/>
      <c r="X14" s="530"/>
      <c r="Y14" s="515"/>
      <c r="Z14" s="514"/>
      <c r="AA14" s="510"/>
      <c r="AB14" s="510"/>
      <c r="AC14" s="513"/>
    </row>
    <row r="15" spans="1:29" s="6" customFormat="1" ht="12.75">
      <c r="A15" s="1"/>
      <c r="B15" s="1432"/>
      <c r="C15" s="1433"/>
      <c r="D15" s="1434"/>
      <c r="E15" s="1419"/>
      <c r="F15" s="1416"/>
      <c r="G15" s="1419"/>
      <c r="H15" s="1430"/>
      <c r="I15" s="1388"/>
      <c r="J15" s="1391"/>
      <c r="K15" s="514">
        <v>773</v>
      </c>
      <c r="L15" s="510"/>
      <c r="M15" s="510"/>
      <c r="N15" s="510"/>
      <c r="O15" s="510"/>
      <c r="P15" s="510"/>
      <c r="Q15" s="511"/>
      <c r="R15" s="512"/>
      <c r="S15" s="513"/>
      <c r="T15" s="514"/>
      <c r="U15" s="514"/>
      <c r="V15" s="510"/>
      <c r="W15" s="529"/>
      <c r="X15" s="530"/>
      <c r="Y15" s="515"/>
      <c r="Z15" s="514"/>
      <c r="AA15" s="510"/>
      <c r="AB15" s="510"/>
      <c r="AC15" s="513"/>
    </row>
    <row r="16" spans="1:29" s="6" customFormat="1" ht="13.5" thickBot="1">
      <c r="A16" s="1"/>
      <c r="B16" s="1432"/>
      <c r="C16" s="1433"/>
      <c r="D16" s="1434"/>
      <c r="E16" s="1419"/>
      <c r="F16" s="1416"/>
      <c r="G16" s="1419"/>
      <c r="H16" s="1431"/>
      <c r="I16" s="1388"/>
      <c r="J16" s="1391"/>
      <c r="K16" s="514">
        <v>555</v>
      </c>
      <c r="L16" s="510"/>
      <c r="M16" s="510"/>
      <c r="N16" s="510"/>
      <c r="O16" s="510"/>
      <c r="P16" s="510"/>
      <c r="Q16" s="511"/>
      <c r="R16" s="512"/>
      <c r="S16" s="513"/>
      <c r="T16" s="514"/>
      <c r="U16" s="514"/>
      <c r="V16" s="510"/>
      <c r="W16" s="529"/>
      <c r="X16" s="530"/>
      <c r="Y16" s="515"/>
      <c r="Z16" s="514"/>
      <c r="AA16" s="510"/>
      <c r="AB16" s="510"/>
      <c r="AC16" s="513"/>
    </row>
    <row r="17" spans="1:29" s="6" customFormat="1" ht="14.25" customHeight="1">
      <c r="A17" s="1"/>
      <c r="B17" s="1424" t="s">
        <v>142</v>
      </c>
      <c r="C17" s="1435"/>
      <c r="D17" s="1415">
        <v>17</v>
      </c>
      <c r="E17" s="1485">
        <f>D17/$D$85</f>
        <v>0.02125</v>
      </c>
      <c r="F17" s="1438">
        <v>5</v>
      </c>
      <c r="G17" s="1418">
        <f>F17/D17</f>
        <v>0.29411764705882354</v>
      </c>
      <c r="H17" s="1488">
        <f>SUM(1*K5)+(1*T5)+(3*V5)</f>
        <v>1571.7199999999998</v>
      </c>
      <c r="I17" s="1491">
        <f>H17/H85</f>
        <v>0.029555781337765232</v>
      </c>
      <c r="J17" s="1390">
        <f>H17/D17</f>
        <v>92.45411764705881</v>
      </c>
      <c r="K17" s="488">
        <v>752</v>
      </c>
      <c r="L17" s="485"/>
      <c r="M17" s="485"/>
      <c r="N17" s="485"/>
      <c r="O17" s="531"/>
      <c r="P17" s="485"/>
      <c r="Q17" s="531"/>
      <c r="R17" s="488"/>
      <c r="S17" s="489"/>
      <c r="T17" s="532">
        <v>497</v>
      </c>
      <c r="U17" s="485"/>
      <c r="V17" s="485">
        <v>869</v>
      </c>
      <c r="W17" s="506"/>
      <c r="X17" s="531"/>
      <c r="Y17" s="490"/>
      <c r="Z17" s="531"/>
      <c r="AA17" s="485"/>
      <c r="AB17" s="487"/>
      <c r="AC17" s="489"/>
    </row>
    <row r="18" spans="1:29" s="6" customFormat="1" ht="14.25" customHeight="1">
      <c r="A18" s="1"/>
      <c r="B18" s="1432"/>
      <c r="C18" s="1433"/>
      <c r="D18" s="1416"/>
      <c r="E18" s="1486"/>
      <c r="F18" s="1434"/>
      <c r="G18" s="1419"/>
      <c r="H18" s="1489"/>
      <c r="I18" s="1492"/>
      <c r="J18" s="1391"/>
      <c r="K18" s="512"/>
      <c r="L18" s="516"/>
      <c r="M18" s="516"/>
      <c r="N18" s="516"/>
      <c r="O18" s="533"/>
      <c r="P18" s="516"/>
      <c r="Q18" s="533"/>
      <c r="R18" s="512"/>
      <c r="S18" s="513"/>
      <c r="T18" s="533"/>
      <c r="U18" s="516"/>
      <c r="V18" s="516">
        <v>392</v>
      </c>
      <c r="W18" s="508"/>
      <c r="X18" s="533"/>
      <c r="Y18" s="515"/>
      <c r="Z18" s="533"/>
      <c r="AA18" s="516"/>
      <c r="AB18" s="533"/>
      <c r="AC18" s="513"/>
    </row>
    <row r="19" spans="1:29" s="6" customFormat="1" ht="14.25" customHeight="1" thickBot="1">
      <c r="A19" s="1"/>
      <c r="B19" s="1436"/>
      <c r="C19" s="1437"/>
      <c r="D19" s="1417"/>
      <c r="E19" s="1487"/>
      <c r="F19" s="1439"/>
      <c r="G19" s="1420"/>
      <c r="H19" s="1490"/>
      <c r="I19" s="1493"/>
      <c r="J19" s="1392"/>
      <c r="K19" s="520"/>
      <c r="L19" s="518"/>
      <c r="M19" s="518"/>
      <c r="N19" s="518"/>
      <c r="O19" s="535"/>
      <c r="P19" s="518"/>
      <c r="Q19" s="535"/>
      <c r="R19" s="520"/>
      <c r="S19" s="521"/>
      <c r="T19" s="535"/>
      <c r="U19" s="518"/>
      <c r="V19" s="518">
        <v>466</v>
      </c>
      <c r="W19" s="536"/>
      <c r="X19" s="535"/>
      <c r="Y19" s="522"/>
      <c r="Z19" s="535"/>
      <c r="AA19" s="518"/>
      <c r="AB19" s="537"/>
      <c r="AC19" s="521"/>
    </row>
    <row r="20" spans="1:29" s="6" customFormat="1" ht="12.75">
      <c r="A20" s="1"/>
      <c r="B20" s="1432" t="s">
        <v>143</v>
      </c>
      <c r="C20" s="1433"/>
      <c r="D20" s="1434">
        <v>28</v>
      </c>
      <c r="E20" s="1419">
        <f>D20/$D$85</f>
        <v>0.035</v>
      </c>
      <c r="F20" s="1416">
        <v>8</v>
      </c>
      <c r="G20" s="1419">
        <f>F20/D20</f>
        <v>0.2857142857142857</v>
      </c>
      <c r="H20" s="1422">
        <f>(1*K5)+(2*O5)+(1*R5)+(1*V5)+(1*W5)+(1*AA5)+(1*AC5)</f>
        <v>2379.3100000000004</v>
      </c>
      <c r="I20" s="1388">
        <f>H20/H85</f>
        <v>0.04474229894304215</v>
      </c>
      <c r="J20" s="1390">
        <f>H20/D20</f>
        <v>84.97535714285716</v>
      </c>
      <c r="K20" s="523">
        <v>398</v>
      </c>
      <c r="L20" s="524"/>
      <c r="M20" s="524"/>
      <c r="N20" s="524"/>
      <c r="O20" s="524">
        <v>609</v>
      </c>
      <c r="P20" s="524"/>
      <c r="Q20" s="525"/>
      <c r="R20" s="526">
        <v>974</v>
      </c>
      <c r="S20" s="527"/>
      <c r="T20" s="523"/>
      <c r="U20" s="523"/>
      <c r="V20" s="524">
        <v>456</v>
      </c>
      <c r="W20" s="523">
        <v>378</v>
      </c>
      <c r="X20" s="525"/>
      <c r="Y20" s="528"/>
      <c r="Z20" s="523"/>
      <c r="AA20" s="524">
        <v>813</v>
      </c>
      <c r="AB20" s="524"/>
      <c r="AC20" s="527">
        <v>366</v>
      </c>
    </row>
    <row r="21" spans="1:29" s="6" customFormat="1" ht="12.75">
      <c r="A21" s="1"/>
      <c r="B21" s="1432"/>
      <c r="C21" s="1433"/>
      <c r="D21" s="1434"/>
      <c r="E21" s="1419"/>
      <c r="F21" s="1416"/>
      <c r="G21" s="1419"/>
      <c r="H21" s="1422"/>
      <c r="I21" s="1388"/>
      <c r="J21" s="1391"/>
      <c r="K21" s="523"/>
      <c r="L21" s="524"/>
      <c r="M21" s="524"/>
      <c r="N21" s="524"/>
      <c r="O21" s="524">
        <v>493</v>
      </c>
      <c r="P21" s="524"/>
      <c r="Q21" s="525"/>
      <c r="R21" s="526"/>
      <c r="S21" s="527"/>
      <c r="T21" s="523"/>
      <c r="U21" s="523"/>
      <c r="V21" s="524"/>
      <c r="W21" s="523"/>
      <c r="X21" s="525"/>
      <c r="Y21" s="528"/>
      <c r="Z21" s="523"/>
      <c r="AA21" s="524"/>
      <c r="AB21" s="524"/>
      <c r="AC21" s="527"/>
    </row>
    <row r="22" spans="1:29" s="6" customFormat="1" ht="13.5" thickBot="1">
      <c r="A22" s="1"/>
      <c r="B22" s="1432"/>
      <c r="C22" s="1433"/>
      <c r="D22" s="1434"/>
      <c r="E22" s="1419"/>
      <c r="F22" s="1416"/>
      <c r="G22" s="1419"/>
      <c r="H22" s="1422"/>
      <c r="I22" s="1388"/>
      <c r="J22" s="1392"/>
      <c r="K22" s="538"/>
      <c r="L22" s="499"/>
      <c r="M22" s="505"/>
      <c r="N22" s="505"/>
      <c r="O22" s="505"/>
      <c r="P22" s="505"/>
      <c r="Q22" s="501"/>
      <c r="R22" s="502"/>
      <c r="S22" s="503"/>
      <c r="T22" s="498"/>
      <c r="U22" s="498"/>
      <c r="V22" s="505"/>
      <c r="W22" s="498"/>
      <c r="X22" s="501"/>
      <c r="Y22" s="504"/>
      <c r="Z22" s="498"/>
      <c r="AA22" s="505"/>
      <c r="AB22" s="505"/>
      <c r="AC22" s="503"/>
    </row>
    <row r="23" spans="2:29" s="1" customFormat="1" ht="12.75">
      <c r="B23" s="1424" t="s">
        <v>144</v>
      </c>
      <c r="C23" s="1435"/>
      <c r="D23" s="1438">
        <v>35</v>
      </c>
      <c r="E23" s="1418">
        <f>D23/$D$85</f>
        <v>0.04375</v>
      </c>
      <c r="F23" s="1461">
        <v>9</v>
      </c>
      <c r="G23" s="1418">
        <f>F23/D23</f>
        <v>0.2571428571428571</v>
      </c>
      <c r="H23" s="1421">
        <f>(2*K5)+(1*N5)+(1*Q5)+(1*S5)+(1*Z5)+(3*AA5)</f>
        <v>2473.5299999999997</v>
      </c>
      <c r="I23" s="1387">
        <f>H23/H85</f>
        <v>0.046514081269184354</v>
      </c>
      <c r="J23" s="1390">
        <f>H23/D23</f>
        <v>70.6722857142857</v>
      </c>
      <c r="K23" s="523">
        <v>515</v>
      </c>
      <c r="L23" s="524"/>
      <c r="M23" s="524"/>
      <c r="N23" s="524">
        <v>666</v>
      </c>
      <c r="O23" s="524"/>
      <c r="P23" s="524"/>
      <c r="Q23" s="525">
        <v>1520</v>
      </c>
      <c r="R23" s="526"/>
      <c r="S23" s="527">
        <v>561</v>
      </c>
      <c r="T23" s="523"/>
      <c r="U23" s="523"/>
      <c r="V23" s="524"/>
      <c r="W23" s="523"/>
      <c r="X23" s="525"/>
      <c r="Y23" s="528"/>
      <c r="Z23" s="523">
        <v>274</v>
      </c>
      <c r="AA23" s="524">
        <v>150</v>
      </c>
      <c r="AB23" s="524"/>
      <c r="AC23" s="527"/>
    </row>
    <row r="24" spans="2:29" s="1" customFormat="1" ht="12.75">
      <c r="B24" s="1432"/>
      <c r="C24" s="1433"/>
      <c r="D24" s="1434"/>
      <c r="E24" s="1419"/>
      <c r="F24" s="1462"/>
      <c r="G24" s="1419"/>
      <c r="H24" s="1422"/>
      <c r="I24" s="1388"/>
      <c r="J24" s="1391"/>
      <c r="K24" s="523">
        <v>1523</v>
      </c>
      <c r="L24" s="524"/>
      <c r="M24" s="524"/>
      <c r="N24" s="524"/>
      <c r="O24" s="524"/>
      <c r="P24" s="524"/>
      <c r="Q24" s="525"/>
      <c r="R24" s="526"/>
      <c r="S24" s="527"/>
      <c r="T24" s="523"/>
      <c r="U24" s="523"/>
      <c r="V24" s="524"/>
      <c r="W24" s="523"/>
      <c r="X24" s="525"/>
      <c r="Y24" s="528"/>
      <c r="Z24" s="523"/>
      <c r="AA24" s="524">
        <v>423</v>
      </c>
      <c r="AB24" s="524"/>
      <c r="AC24" s="527"/>
    </row>
    <row r="25" spans="2:29" s="1" customFormat="1" ht="12.75">
      <c r="B25" s="1432"/>
      <c r="C25" s="1433"/>
      <c r="D25" s="1434"/>
      <c r="E25" s="1419"/>
      <c r="F25" s="1462"/>
      <c r="G25" s="1419"/>
      <c r="H25" s="1422"/>
      <c r="I25" s="1388"/>
      <c r="J25" s="1391"/>
      <c r="K25" s="523"/>
      <c r="L25" s="524"/>
      <c r="M25" s="524"/>
      <c r="N25" s="524"/>
      <c r="O25" s="524"/>
      <c r="P25" s="524"/>
      <c r="Q25" s="525"/>
      <c r="R25" s="526"/>
      <c r="S25" s="527"/>
      <c r="T25" s="523"/>
      <c r="U25" s="523"/>
      <c r="V25" s="524"/>
      <c r="W25" s="523"/>
      <c r="X25" s="525"/>
      <c r="Y25" s="528"/>
      <c r="Z25" s="523"/>
      <c r="AA25" s="524">
        <v>472</v>
      </c>
      <c r="AB25" s="524"/>
      <c r="AC25" s="527"/>
    </row>
    <row r="26" spans="2:29" s="1" customFormat="1" ht="13.5" thickBot="1">
      <c r="B26" s="1432"/>
      <c r="C26" s="1433"/>
      <c r="D26" s="1434"/>
      <c r="E26" s="1419"/>
      <c r="F26" s="1463"/>
      <c r="G26" s="1419"/>
      <c r="H26" s="1422"/>
      <c r="I26" s="1388"/>
      <c r="J26" s="1392"/>
      <c r="K26" s="514"/>
      <c r="L26" s="516"/>
      <c r="M26" s="516"/>
      <c r="N26" s="516"/>
      <c r="O26" s="516"/>
      <c r="P26" s="516"/>
      <c r="Q26" s="511"/>
      <c r="R26" s="512"/>
      <c r="S26" s="513"/>
      <c r="T26" s="514"/>
      <c r="U26" s="514"/>
      <c r="V26" s="516"/>
      <c r="W26" s="514"/>
      <c r="X26" s="511"/>
      <c r="Y26" s="515"/>
      <c r="Z26" s="514"/>
      <c r="AA26" s="516"/>
      <c r="AB26" s="516"/>
      <c r="AC26" s="513"/>
    </row>
    <row r="27" spans="1:30" s="6" customFormat="1" ht="12.75">
      <c r="A27" s="1"/>
      <c r="B27" s="1483" t="s">
        <v>145</v>
      </c>
      <c r="C27" s="1424"/>
      <c r="D27" s="1438">
        <v>44</v>
      </c>
      <c r="E27" s="1418">
        <f>D27/$D$85</f>
        <v>0.055</v>
      </c>
      <c r="F27" s="1415">
        <v>9</v>
      </c>
      <c r="G27" s="1418">
        <f>F27/D27</f>
        <v>0.20454545454545456</v>
      </c>
      <c r="H27" s="1421">
        <f>(3*K5)+(1*O5)+(1*Q5)+(1*AA5)+(2*AC5)+(1*S5)</f>
        <v>2641.55</v>
      </c>
      <c r="I27" s="1387">
        <f>H27/H85</f>
        <v>0.04967365319062795</v>
      </c>
      <c r="J27" s="1390">
        <f>H27/D27</f>
        <v>60.035227272727276</v>
      </c>
      <c r="K27" s="484">
        <v>921</v>
      </c>
      <c r="L27" s="485"/>
      <c r="M27" s="539"/>
      <c r="N27" s="539"/>
      <c r="O27" s="485">
        <v>14</v>
      </c>
      <c r="P27" s="485"/>
      <c r="Q27" s="487">
        <v>162</v>
      </c>
      <c r="R27" s="488"/>
      <c r="S27" s="489">
        <v>551</v>
      </c>
      <c r="T27" s="484"/>
      <c r="U27" s="484"/>
      <c r="V27" s="485"/>
      <c r="W27" s="484"/>
      <c r="X27" s="487"/>
      <c r="Y27" s="490"/>
      <c r="Z27" s="484"/>
      <c r="AA27" s="485">
        <v>102</v>
      </c>
      <c r="AB27" s="485"/>
      <c r="AC27" s="489">
        <v>106</v>
      </c>
      <c r="AD27" s="1311"/>
    </row>
    <row r="28" spans="2:30" s="1" customFormat="1" ht="12.75">
      <c r="B28" s="1484"/>
      <c r="C28" s="1432"/>
      <c r="D28" s="1434"/>
      <c r="E28" s="1419"/>
      <c r="F28" s="1416"/>
      <c r="G28" s="1419"/>
      <c r="H28" s="1422"/>
      <c r="I28" s="1388"/>
      <c r="J28" s="1391"/>
      <c r="K28" s="514">
        <v>66</v>
      </c>
      <c r="L28" s="516"/>
      <c r="M28" s="516"/>
      <c r="N28" s="516"/>
      <c r="O28" s="516"/>
      <c r="P28" s="516"/>
      <c r="Q28" s="511"/>
      <c r="R28" s="512"/>
      <c r="S28" s="513"/>
      <c r="T28" s="514"/>
      <c r="U28" s="514"/>
      <c r="V28" s="516"/>
      <c r="W28" s="514"/>
      <c r="X28" s="511"/>
      <c r="Y28" s="515"/>
      <c r="Z28" s="514"/>
      <c r="AA28" s="516"/>
      <c r="AB28" s="516"/>
      <c r="AC28" s="513">
        <v>302</v>
      </c>
      <c r="AD28" s="1311"/>
    </row>
    <row r="29" spans="2:30" s="1" customFormat="1" ht="12.75">
      <c r="B29" s="1484"/>
      <c r="C29" s="1432"/>
      <c r="D29" s="1434"/>
      <c r="E29" s="1419"/>
      <c r="F29" s="1416"/>
      <c r="G29" s="1419"/>
      <c r="H29" s="1422"/>
      <c r="I29" s="1388"/>
      <c r="J29" s="1391"/>
      <c r="K29" s="540">
        <v>107</v>
      </c>
      <c r="L29" s="541"/>
      <c r="M29" s="541"/>
      <c r="N29" s="541"/>
      <c r="O29" s="541"/>
      <c r="P29" s="541"/>
      <c r="Q29" s="542"/>
      <c r="R29" s="543"/>
      <c r="S29" s="544"/>
      <c r="T29" s="540"/>
      <c r="U29" s="540"/>
      <c r="V29" s="541"/>
      <c r="W29" s="540"/>
      <c r="X29" s="542"/>
      <c r="Y29" s="545"/>
      <c r="Z29" s="540"/>
      <c r="AA29" s="541"/>
      <c r="AB29" s="541"/>
      <c r="AC29" s="544"/>
      <c r="AD29" s="1311"/>
    </row>
    <row r="30" spans="2:30" s="1" customFormat="1" ht="13.5" thickBot="1">
      <c r="B30" s="1484"/>
      <c r="C30" s="1432"/>
      <c r="D30" s="1434"/>
      <c r="E30" s="1419"/>
      <c r="F30" s="1416"/>
      <c r="G30" s="1419"/>
      <c r="H30" s="1422"/>
      <c r="I30" s="1388"/>
      <c r="J30" s="1392"/>
      <c r="K30" s="546"/>
      <c r="L30" s="541"/>
      <c r="M30" s="541"/>
      <c r="N30" s="541"/>
      <c r="O30" s="541"/>
      <c r="P30" s="541"/>
      <c r="Q30" s="542"/>
      <c r="R30" s="543"/>
      <c r="S30" s="544"/>
      <c r="T30" s="540"/>
      <c r="U30" s="540"/>
      <c r="V30" s="541"/>
      <c r="W30" s="540"/>
      <c r="X30" s="542"/>
      <c r="Y30" s="545"/>
      <c r="Z30" s="540"/>
      <c r="AA30" s="541"/>
      <c r="AB30" s="541"/>
      <c r="AC30" s="544"/>
      <c r="AD30" s="1311"/>
    </row>
    <row r="31" spans="2:30" s="1" customFormat="1" ht="12.75">
      <c r="B31" s="1477" t="s">
        <v>146</v>
      </c>
      <c r="C31" s="1478"/>
      <c r="D31" s="1415">
        <v>21</v>
      </c>
      <c r="E31" s="1418">
        <f>D31/$D$85</f>
        <v>0.02625</v>
      </c>
      <c r="F31" s="1415">
        <v>6</v>
      </c>
      <c r="G31" s="1418">
        <f>F31/D31</f>
        <v>0.2857142857142857</v>
      </c>
      <c r="H31" s="1481">
        <f>SUM(1*K5)+(1*M5)+(1*N5)+(1*S5)+(2*AA5)</f>
        <v>1588.53</v>
      </c>
      <c r="I31" s="1387">
        <f>H31/H85</f>
        <v>0.029871888967806102</v>
      </c>
      <c r="J31" s="1390">
        <f>H31/D31</f>
        <v>75.64428571428572</v>
      </c>
      <c r="K31" s="547" t="s">
        <v>187</v>
      </c>
      <c r="L31" s="485"/>
      <c r="M31" s="485">
        <v>524</v>
      </c>
      <c r="N31" s="485">
        <v>356</v>
      </c>
      <c r="O31" s="485"/>
      <c r="P31" s="485"/>
      <c r="Q31" s="487"/>
      <c r="R31" s="488"/>
      <c r="S31" s="489">
        <v>120</v>
      </c>
      <c r="T31" s="484"/>
      <c r="U31" s="484"/>
      <c r="V31" s="485"/>
      <c r="W31" s="484"/>
      <c r="X31" s="487"/>
      <c r="Y31" s="490"/>
      <c r="Z31" s="484"/>
      <c r="AA31" s="485">
        <v>98</v>
      </c>
      <c r="AB31" s="485"/>
      <c r="AC31" s="489"/>
      <c r="AD31" s="385"/>
    </row>
    <row r="32" spans="2:29" s="1" customFormat="1" ht="13.5" thickBot="1">
      <c r="B32" s="1479"/>
      <c r="C32" s="1480"/>
      <c r="D32" s="1417"/>
      <c r="E32" s="1420"/>
      <c r="F32" s="1417"/>
      <c r="G32" s="1420"/>
      <c r="H32" s="1482"/>
      <c r="I32" s="1389"/>
      <c r="J32" s="1392"/>
      <c r="K32" s="523"/>
      <c r="L32" s="524"/>
      <c r="M32" s="524"/>
      <c r="N32" s="524"/>
      <c r="O32" s="524"/>
      <c r="P32" s="524"/>
      <c r="Q32" s="525"/>
      <c r="R32" s="526"/>
      <c r="S32" s="527"/>
      <c r="T32" s="523"/>
      <c r="U32" s="523"/>
      <c r="V32" s="525"/>
      <c r="W32" s="516"/>
      <c r="X32" s="527"/>
      <c r="Y32" s="528"/>
      <c r="Z32" s="523"/>
      <c r="AA32" s="524">
        <v>962</v>
      </c>
      <c r="AB32" s="524"/>
      <c r="AC32" s="527"/>
    </row>
    <row r="33" spans="1:29" s="6" customFormat="1" ht="12.75">
      <c r="A33" s="1"/>
      <c r="B33" s="1424" t="s">
        <v>147</v>
      </c>
      <c r="C33" s="1435"/>
      <c r="D33" s="1438">
        <v>22</v>
      </c>
      <c r="E33" s="1418">
        <f>D33/$D$85</f>
        <v>0.0275</v>
      </c>
      <c r="F33" s="1415">
        <v>5</v>
      </c>
      <c r="G33" s="1418">
        <f>F33/D33</f>
        <v>0.22727272727272727</v>
      </c>
      <c r="H33" s="1421">
        <f>(2*K5)+(2*M5)+(1*AC5)</f>
        <v>1352.56</v>
      </c>
      <c r="I33" s="1387">
        <f>H33/H85</f>
        <v>0.025434535162883812</v>
      </c>
      <c r="J33" s="1390">
        <f>H33/D33</f>
        <v>61.48</v>
      </c>
      <c r="K33" s="484">
        <v>542</v>
      </c>
      <c r="L33" s="485"/>
      <c r="M33" s="485">
        <v>381</v>
      </c>
      <c r="N33" s="485"/>
      <c r="O33" s="485"/>
      <c r="P33" s="485"/>
      <c r="Q33" s="487"/>
      <c r="R33" s="488"/>
      <c r="S33" s="489"/>
      <c r="T33" s="484"/>
      <c r="U33" s="484"/>
      <c r="V33" s="487"/>
      <c r="W33" s="485"/>
      <c r="X33" s="489"/>
      <c r="Y33" s="490"/>
      <c r="Z33" s="484"/>
      <c r="AA33" s="485"/>
      <c r="AB33" s="485"/>
      <c r="AC33" s="489">
        <v>286</v>
      </c>
    </row>
    <row r="34" spans="1:29" s="6" customFormat="1" ht="13.5" thickBot="1">
      <c r="A34" s="1"/>
      <c r="B34" s="1436"/>
      <c r="C34" s="1437"/>
      <c r="D34" s="1439"/>
      <c r="E34" s="1420"/>
      <c r="F34" s="1417"/>
      <c r="G34" s="1420"/>
      <c r="H34" s="1423"/>
      <c r="I34" s="1389"/>
      <c r="J34" s="1392"/>
      <c r="K34" s="498">
        <v>963</v>
      </c>
      <c r="L34" s="505"/>
      <c r="M34" s="505">
        <v>539</v>
      </c>
      <c r="N34" s="505"/>
      <c r="O34" s="505"/>
      <c r="P34" s="505"/>
      <c r="Q34" s="501"/>
      <c r="R34" s="502"/>
      <c r="S34" s="503"/>
      <c r="T34" s="498"/>
      <c r="U34" s="498"/>
      <c r="V34" s="501"/>
      <c r="W34" s="505"/>
      <c r="X34" s="503"/>
      <c r="Y34" s="504"/>
      <c r="Z34" s="498"/>
      <c r="AA34" s="505"/>
      <c r="AB34" s="505"/>
      <c r="AC34" s="503"/>
    </row>
    <row r="35" spans="2:29" s="1" customFormat="1" ht="12.75">
      <c r="B35" s="1473" t="s">
        <v>148</v>
      </c>
      <c r="C35" s="1474"/>
      <c r="D35" s="1475">
        <v>33</v>
      </c>
      <c r="E35" s="1476">
        <f>D35/$D$85</f>
        <v>0.04125</v>
      </c>
      <c r="F35" s="1415">
        <v>10</v>
      </c>
      <c r="G35" s="1418">
        <f>F35/D35</f>
        <v>0.30303030303030304</v>
      </c>
      <c r="H35" s="1421">
        <f>(2*K5)+(2*M5)+(1*Q5)+(2*T5)+(1*V5)+(2*AA5)</f>
        <v>2247.92</v>
      </c>
      <c r="I35" s="1387">
        <f>H35/H85</f>
        <v>0.04227154454024205</v>
      </c>
      <c r="J35" s="1390">
        <f>H35/D35</f>
        <v>68.11878787878788</v>
      </c>
      <c r="K35" s="484">
        <v>457</v>
      </c>
      <c r="L35" s="485"/>
      <c r="M35" s="485">
        <v>993</v>
      </c>
      <c r="N35" s="485"/>
      <c r="O35" s="485"/>
      <c r="P35" s="485"/>
      <c r="Q35" s="487">
        <v>294</v>
      </c>
      <c r="R35" s="488"/>
      <c r="S35" s="489"/>
      <c r="T35" s="548">
        <v>406</v>
      </c>
      <c r="U35" s="484"/>
      <c r="V35" s="485">
        <v>280</v>
      </c>
      <c r="W35" s="484"/>
      <c r="X35" s="487"/>
      <c r="Y35" s="490"/>
      <c r="Z35" s="484"/>
      <c r="AA35" s="485">
        <v>31</v>
      </c>
      <c r="AB35" s="485"/>
      <c r="AC35" s="489"/>
    </row>
    <row r="36" spans="2:29" s="1" customFormat="1" ht="12.75">
      <c r="B36" s="1399"/>
      <c r="C36" s="1400"/>
      <c r="D36" s="1407"/>
      <c r="E36" s="1411"/>
      <c r="F36" s="1416"/>
      <c r="G36" s="1419"/>
      <c r="H36" s="1422"/>
      <c r="I36" s="1388"/>
      <c r="J36" s="1391"/>
      <c r="K36" s="523">
        <v>124</v>
      </c>
      <c r="L36" s="524"/>
      <c r="M36" s="524">
        <v>818</v>
      </c>
      <c r="N36" s="524"/>
      <c r="O36" s="524"/>
      <c r="P36" s="524"/>
      <c r="Q36" s="525"/>
      <c r="R36" s="526"/>
      <c r="S36" s="527"/>
      <c r="T36" s="523">
        <v>49</v>
      </c>
      <c r="U36" s="523"/>
      <c r="V36" s="524"/>
      <c r="W36" s="523"/>
      <c r="X36" s="525"/>
      <c r="Y36" s="528"/>
      <c r="Z36" s="523"/>
      <c r="AA36" s="524">
        <v>760</v>
      </c>
      <c r="AB36" s="524"/>
      <c r="AC36" s="527"/>
    </row>
    <row r="37" spans="2:29" s="1" customFormat="1" ht="13.5" thickBot="1">
      <c r="B37" s="1401"/>
      <c r="C37" s="1402"/>
      <c r="D37" s="1408"/>
      <c r="E37" s="1412"/>
      <c r="F37" s="1417"/>
      <c r="G37" s="1420"/>
      <c r="H37" s="1423"/>
      <c r="I37" s="1389"/>
      <c r="J37" s="1392"/>
      <c r="K37" s="514"/>
      <c r="L37" s="516"/>
      <c r="M37" s="516"/>
      <c r="N37" s="516"/>
      <c r="O37" s="516"/>
      <c r="P37" s="516"/>
      <c r="Q37" s="511"/>
      <c r="R37" s="512"/>
      <c r="S37" s="513"/>
      <c r="T37" s="514"/>
      <c r="U37" s="514"/>
      <c r="V37" s="516"/>
      <c r="W37" s="514"/>
      <c r="X37" s="511"/>
      <c r="Y37" s="515"/>
      <c r="Z37" s="514"/>
      <c r="AA37" s="516"/>
      <c r="AB37" s="516"/>
      <c r="AC37" s="513"/>
    </row>
    <row r="38" spans="2:29" s="1" customFormat="1" ht="12.75">
      <c r="B38" s="1424" t="s">
        <v>149</v>
      </c>
      <c r="C38" s="1435"/>
      <c r="D38" s="1438">
        <v>12</v>
      </c>
      <c r="E38" s="1418">
        <f>D38/$D$85</f>
        <v>0.015</v>
      </c>
      <c r="F38" s="1415">
        <v>4</v>
      </c>
      <c r="G38" s="1418">
        <f>F38/D38</f>
        <v>0.3333333333333333</v>
      </c>
      <c r="H38" s="1421">
        <f>(2*M5)+(1*S5)+(1*T5)</f>
        <v>867.53</v>
      </c>
      <c r="I38" s="1387">
        <f>H38/H85</f>
        <v>0.016313673544875344</v>
      </c>
      <c r="J38" s="1470">
        <f>H38/D38</f>
        <v>72.29416666666667</v>
      </c>
      <c r="K38" s="484"/>
      <c r="L38" s="485"/>
      <c r="M38" s="485">
        <v>47</v>
      </c>
      <c r="N38" s="485"/>
      <c r="O38" s="485"/>
      <c r="P38" s="485"/>
      <c r="Q38" s="487"/>
      <c r="R38" s="488"/>
      <c r="S38" s="489">
        <v>81</v>
      </c>
      <c r="T38" s="484">
        <v>20</v>
      </c>
      <c r="U38" s="484"/>
      <c r="V38" s="485"/>
      <c r="W38" s="484"/>
      <c r="X38" s="487"/>
      <c r="Y38" s="490"/>
      <c r="Z38" s="484"/>
      <c r="AA38" s="485"/>
      <c r="AB38" s="485"/>
      <c r="AC38" s="489"/>
    </row>
    <row r="39" spans="2:29" s="1" customFormat="1" ht="12.75">
      <c r="B39" s="1432"/>
      <c r="C39" s="1433"/>
      <c r="D39" s="1434"/>
      <c r="E39" s="1419"/>
      <c r="F39" s="1416"/>
      <c r="G39" s="1419"/>
      <c r="H39" s="1422"/>
      <c r="I39" s="1388"/>
      <c r="J39" s="1471"/>
      <c r="K39" s="491"/>
      <c r="L39" s="492"/>
      <c r="M39" s="492">
        <v>681</v>
      </c>
      <c r="N39" s="492"/>
      <c r="O39" s="492"/>
      <c r="P39" s="492"/>
      <c r="Q39" s="494"/>
      <c r="R39" s="495"/>
      <c r="S39" s="496"/>
      <c r="T39" s="491"/>
      <c r="U39" s="491"/>
      <c r="V39" s="492"/>
      <c r="W39" s="491"/>
      <c r="X39" s="494"/>
      <c r="Y39" s="497"/>
      <c r="Z39" s="491"/>
      <c r="AA39" s="492"/>
      <c r="AB39" s="492"/>
      <c r="AC39" s="496"/>
    </row>
    <row r="40" spans="2:29" s="1" customFormat="1" ht="13.5" thickBot="1">
      <c r="B40" s="1436"/>
      <c r="C40" s="1437"/>
      <c r="D40" s="1439"/>
      <c r="E40" s="1420"/>
      <c r="F40" s="1417"/>
      <c r="G40" s="1420"/>
      <c r="H40" s="1423"/>
      <c r="I40" s="1389"/>
      <c r="J40" s="1472"/>
      <c r="K40" s="498"/>
      <c r="L40" s="499"/>
      <c r="M40" s="505"/>
      <c r="N40" s="505"/>
      <c r="O40" s="505"/>
      <c r="P40" s="505"/>
      <c r="Q40" s="501"/>
      <c r="R40" s="502"/>
      <c r="S40" s="503"/>
      <c r="T40" s="498"/>
      <c r="U40" s="498"/>
      <c r="V40" s="505"/>
      <c r="W40" s="498"/>
      <c r="X40" s="501"/>
      <c r="Y40" s="504"/>
      <c r="Z40" s="498"/>
      <c r="AA40" s="505"/>
      <c r="AB40" s="505"/>
      <c r="AC40" s="503"/>
    </row>
    <row r="41" spans="2:29" s="1" customFormat="1" ht="12.75">
      <c r="B41" s="1449" t="s">
        <v>150</v>
      </c>
      <c r="C41" s="1450"/>
      <c r="D41" s="1455">
        <v>44</v>
      </c>
      <c r="E41" s="1458">
        <f>D41/$D$85</f>
        <v>0.055</v>
      </c>
      <c r="F41" s="1461">
        <v>13</v>
      </c>
      <c r="G41" s="1464">
        <f>F41/D41</f>
        <v>0.29545454545454547</v>
      </c>
      <c r="H41" s="1467">
        <f>(2*L5)+(1*M5)+(2*N5)+(3*T5)+(2*W5)+(1*Z5)+(2*AA5)</f>
        <v>2528.92</v>
      </c>
      <c r="I41" s="1446">
        <f>H41/H85</f>
        <v>0.04755567565514294</v>
      </c>
      <c r="J41" s="1390">
        <f>H41/D41</f>
        <v>57.47545454545455</v>
      </c>
      <c r="K41" s="549"/>
      <c r="L41" s="485">
        <v>369</v>
      </c>
      <c r="M41" s="485">
        <v>483</v>
      </c>
      <c r="N41" s="485">
        <v>881</v>
      </c>
      <c r="O41" s="485"/>
      <c r="P41" s="485"/>
      <c r="Q41" s="487"/>
      <c r="R41" s="488"/>
      <c r="S41" s="489"/>
      <c r="T41" s="484">
        <v>148</v>
      </c>
      <c r="U41" s="484"/>
      <c r="V41" s="485"/>
      <c r="W41" s="484">
        <v>586</v>
      </c>
      <c r="X41" s="487"/>
      <c r="Y41" s="490"/>
      <c r="Z41" s="484">
        <v>1000</v>
      </c>
      <c r="AA41" s="485">
        <v>970</v>
      </c>
      <c r="AB41" s="485"/>
      <c r="AC41" s="489"/>
    </row>
    <row r="42" spans="2:29" s="1" customFormat="1" ht="12.75">
      <c r="B42" s="1451"/>
      <c r="C42" s="1452"/>
      <c r="D42" s="1456"/>
      <c r="E42" s="1459"/>
      <c r="F42" s="1462"/>
      <c r="G42" s="1465"/>
      <c r="H42" s="1468"/>
      <c r="I42" s="1447"/>
      <c r="J42" s="1391"/>
      <c r="K42" s="514"/>
      <c r="L42" s="516">
        <v>713</v>
      </c>
      <c r="M42" s="516"/>
      <c r="N42" s="516">
        <v>568</v>
      </c>
      <c r="O42" s="516"/>
      <c r="P42" s="516"/>
      <c r="Q42" s="511"/>
      <c r="R42" s="512"/>
      <c r="S42" s="513"/>
      <c r="T42" s="514">
        <v>99</v>
      </c>
      <c r="U42" s="514"/>
      <c r="V42" s="516"/>
      <c r="W42" s="514">
        <v>786</v>
      </c>
      <c r="X42" s="511"/>
      <c r="Y42" s="515"/>
      <c r="Z42" s="514"/>
      <c r="AA42" s="516">
        <v>548</v>
      </c>
      <c r="AB42" s="516"/>
      <c r="AC42" s="513"/>
    </row>
    <row r="43" spans="2:29" s="1" customFormat="1" ht="12.75">
      <c r="B43" s="1451"/>
      <c r="C43" s="1452"/>
      <c r="D43" s="1456"/>
      <c r="E43" s="1459"/>
      <c r="F43" s="1462"/>
      <c r="G43" s="1465"/>
      <c r="H43" s="1468"/>
      <c r="I43" s="1447"/>
      <c r="J43" s="1391"/>
      <c r="K43" s="514"/>
      <c r="L43" s="516"/>
      <c r="M43" s="516"/>
      <c r="N43" s="516"/>
      <c r="O43" s="516"/>
      <c r="P43" s="516"/>
      <c r="Q43" s="511"/>
      <c r="R43" s="512"/>
      <c r="S43" s="513"/>
      <c r="T43" s="550">
        <v>838</v>
      </c>
      <c r="U43" s="514"/>
      <c r="V43" s="516"/>
      <c r="W43" s="514"/>
      <c r="X43" s="511"/>
      <c r="Y43" s="515"/>
      <c r="Z43" s="514"/>
      <c r="AA43" s="516"/>
      <c r="AB43" s="516"/>
      <c r="AC43" s="513"/>
    </row>
    <row r="44" spans="2:29" s="1" customFormat="1" ht="13.5" thickBot="1">
      <c r="B44" s="1453"/>
      <c r="C44" s="1454"/>
      <c r="D44" s="1457"/>
      <c r="E44" s="1460"/>
      <c r="F44" s="1463"/>
      <c r="G44" s="1466"/>
      <c r="H44" s="1469"/>
      <c r="I44" s="1448"/>
      <c r="J44" s="1392"/>
      <c r="K44" s="514"/>
      <c r="L44" s="516"/>
      <c r="M44" s="516"/>
      <c r="N44" s="516"/>
      <c r="O44" s="516"/>
      <c r="P44" s="516"/>
      <c r="Q44" s="511"/>
      <c r="R44" s="512"/>
      <c r="S44" s="513"/>
      <c r="T44" s="514"/>
      <c r="U44" s="514"/>
      <c r="V44" s="516"/>
      <c r="W44" s="514"/>
      <c r="X44" s="511"/>
      <c r="Y44" s="515"/>
      <c r="Z44" s="514"/>
      <c r="AA44" s="516"/>
      <c r="AB44" s="516"/>
      <c r="AC44" s="513"/>
    </row>
    <row r="45" spans="2:29" s="1" customFormat="1" ht="12.75">
      <c r="B45" s="1399" t="s">
        <v>151</v>
      </c>
      <c r="C45" s="1400"/>
      <c r="D45" s="1407">
        <v>47</v>
      </c>
      <c r="E45" s="1411">
        <f>D45/$D$85</f>
        <v>0.05875</v>
      </c>
      <c r="F45" s="1415">
        <v>15</v>
      </c>
      <c r="G45" s="1418">
        <f>F45/D45</f>
        <v>0.3191489361702128</v>
      </c>
      <c r="H45" s="1421">
        <f>(2*M5)+(1*N5)+(1*O5)+(1*P5)+(1*Q5)+(2*S5)+(2*T5)+(3*V5)+(1*Z5)</f>
        <v>3593</v>
      </c>
      <c r="I45" s="1387">
        <f>H45/H85</f>
        <v>0.06756542026988935</v>
      </c>
      <c r="J45" s="1390">
        <f>H45/D45</f>
        <v>76.44680851063829</v>
      </c>
      <c r="K45" s="484"/>
      <c r="L45" s="485"/>
      <c r="M45" s="485">
        <v>97</v>
      </c>
      <c r="N45" s="485">
        <v>465</v>
      </c>
      <c r="O45" s="485">
        <v>229</v>
      </c>
      <c r="P45" s="485">
        <v>451</v>
      </c>
      <c r="Q45" s="487">
        <v>621</v>
      </c>
      <c r="R45" s="488"/>
      <c r="S45" s="489">
        <v>86</v>
      </c>
      <c r="T45" s="484">
        <v>209</v>
      </c>
      <c r="U45" s="484"/>
      <c r="V45" s="485">
        <v>798</v>
      </c>
      <c r="W45" s="484"/>
      <c r="X45" s="487"/>
      <c r="Y45" s="490"/>
      <c r="Z45" s="484">
        <v>574</v>
      </c>
      <c r="AA45" s="485"/>
      <c r="AB45" s="485"/>
      <c r="AC45" s="489"/>
    </row>
    <row r="46" spans="2:29" s="1" customFormat="1" ht="12.75">
      <c r="B46" s="1399"/>
      <c r="C46" s="1400"/>
      <c r="D46" s="1407"/>
      <c r="E46" s="1411"/>
      <c r="F46" s="1416"/>
      <c r="G46" s="1419"/>
      <c r="H46" s="1422"/>
      <c r="I46" s="1388"/>
      <c r="J46" s="1391"/>
      <c r="K46" s="523"/>
      <c r="L46" s="524"/>
      <c r="M46" s="524">
        <v>195</v>
      </c>
      <c r="N46" s="524">
        <v>1526</v>
      </c>
      <c r="O46" s="524"/>
      <c r="P46" s="524"/>
      <c r="Q46" s="525"/>
      <c r="R46" s="526"/>
      <c r="S46" s="527">
        <v>479</v>
      </c>
      <c r="T46" s="523">
        <v>823</v>
      </c>
      <c r="U46" s="523"/>
      <c r="V46" s="524">
        <v>808</v>
      </c>
      <c r="W46" s="523"/>
      <c r="X46" s="525"/>
      <c r="Y46" s="528"/>
      <c r="Z46" s="523"/>
      <c r="AA46" s="524"/>
      <c r="AB46" s="524"/>
      <c r="AC46" s="527"/>
    </row>
    <row r="47" spans="2:29" s="1" customFormat="1" ht="12.75">
      <c r="B47" s="1399"/>
      <c r="C47" s="1400"/>
      <c r="D47" s="1407"/>
      <c r="E47" s="1411"/>
      <c r="F47" s="1416"/>
      <c r="G47" s="1419"/>
      <c r="H47" s="1422"/>
      <c r="I47" s="1388"/>
      <c r="J47" s="1391"/>
      <c r="K47" s="523"/>
      <c r="L47" s="524"/>
      <c r="M47" s="524"/>
      <c r="N47" s="524"/>
      <c r="O47" s="524"/>
      <c r="P47" s="524"/>
      <c r="Q47" s="525"/>
      <c r="R47" s="526"/>
      <c r="S47" s="527"/>
      <c r="T47" s="523"/>
      <c r="U47" s="523"/>
      <c r="V47" s="524">
        <v>834</v>
      </c>
      <c r="W47" s="523"/>
      <c r="X47" s="525"/>
      <c r="Y47" s="528"/>
      <c r="Z47" s="523"/>
      <c r="AA47" s="524"/>
      <c r="AB47" s="524"/>
      <c r="AC47" s="527"/>
    </row>
    <row r="48" spans="2:29" s="1" customFormat="1" ht="12.75">
      <c r="B48" s="1399"/>
      <c r="C48" s="1400"/>
      <c r="D48" s="1407"/>
      <c r="E48" s="1411"/>
      <c r="F48" s="1416"/>
      <c r="G48" s="1419"/>
      <c r="H48" s="1422"/>
      <c r="I48" s="1388"/>
      <c r="J48" s="1391"/>
      <c r="K48" s="523"/>
      <c r="L48" s="524"/>
      <c r="M48" s="524"/>
      <c r="N48" s="524"/>
      <c r="O48" s="524"/>
      <c r="P48" s="524"/>
      <c r="Q48" s="525"/>
      <c r="R48" s="526"/>
      <c r="S48" s="527"/>
      <c r="T48" s="523"/>
      <c r="U48" s="523"/>
      <c r="V48" s="524"/>
      <c r="W48" s="523"/>
      <c r="X48" s="525"/>
      <c r="Y48" s="528"/>
      <c r="Z48" s="523"/>
      <c r="AA48" s="524"/>
      <c r="AB48" s="524"/>
      <c r="AC48" s="527"/>
    </row>
    <row r="49" spans="1:29" s="6" customFormat="1" ht="13.5" thickBot="1">
      <c r="A49" s="1"/>
      <c r="B49" s="1401"/>
      <c r="C49" s="1402"/>
      <c r="D49" s="1408"/>
      <c r="E49" s="1412"/>
      <c r="F49" s="1417"/>
      <c r="G49" s="1420"/>
      <c r="H49" s="1423"/>
      <c r="I49" s="1389"/>
      <c r="J49" s="1392"/>
      <c r="K49" s="514"/>
      <c r="L49" s="516"/>
      <c r="M49" s="516"/>
      <c r="N49" s="516"/>
      <c r="O49" s="516"/>
      <c r="P49" s="516"/>
      <c r="Q49" s="511"/>
      <c r="R49" s="512"/>
      <c r="S49" s="513"/>
      <c r="T49" s="514"/>
      <c r="U49" s="514"/>
      <c r="V49" s="516"/>
      <c r="W49" s="514"/>
      <c r="X49" s="511"/>
      <c r="Y49" s="515"/>
      <c r="Z49" s="514"/>
      <c r="AA49" s="516"/>
      <c r="AB49" s="516"/>
      <c r="AC49" s="513"/>
    </row>
    <row r="50" spans="2:29" s="1" customFormat="1" ht="13.5" thickBot="1">
      <c r="B50" s="1440" t="s">
        <v>152</v>
      </c>
      <c r="C50" s="1441"/>
      <c r="D50" s="1442">
        <v>38</v>
      </c>
      <c r="E50" s="1443">
        <f>D50/$D$85</f>
        <v>0.0475</v>
      </c>
      <c r="F50" s="1415">
        <v>13</v>
      </c>
      <c r="G50" s="1418">
        <f>F50/D50</f>
        <v>0.34210526315789475</v>
      </c>
      <c r="H50" s="1421">
        <f>(1*M5)+(1*O5)+(4*Q5)+(1*W5)+(3*Y5)+(3*AA5)</f>
        <v>2200.0099999999998</v>
      </c>
      <c r="I50" s="1387">
        <f>H50/H85</f>
        <v>0.04137060958751997</v>
      </c>
      <c r="J50" s="1390">
        <f>H50/D50</f>
        <v>57.894999999999996</v>
      </c>
      <c r="K50" s="484"/>
      <c r="L50" s="485"/>
      <c r="M50" s="485">
        <v>490</v>
      </c>
      <c r="N50" s="485"/>
      <c r="O50" s="485">
        <v>744</v>
      </c>
      <c r="P50" s="485"/>
      <c r="Q50" s="487">
        <v>157</v>
      </c>
      <c r="R50" s="488"/>
      <c r="S50" s="489"/>
      <c r="T50" s="484"/>
      <c r="U50" s="484"/>
      <c r="V50" s="485"/>
      <c r="W50" s="484">
        <v>278</v>
      </c>
      <c r="X50" s="487"/>
      <c r="Y50" s="490">
        <v>494</v>
      </c>
      <c r="Z50" s="484"/>
      <c r="AA50" s="485">
        <v>19</v>
      </c>
      <c r="AB50" s="485"/>
      <c r="AC50" s="489"/>
    </row>
    <row r="51" spans="2:29" s="1" customFormat="1" ht="13.5" thickBot="1">
      <c r="B51" s="1440"/>
      <c r="C51" s="1441"/>
      <c r="D51" s="1442"/>
      <c r="E51" s="1443"/>
      <c r="F51" s="1416"/>
      <c r="G51" s="1419"/>
      <c r="H51" s="1422"/>
      <c r="I51" s="1388"/>
      <c r="J51" s="1391"/>
      <c r="K51" s="514"/>
      <c r="L51" s="516"/>
      <c r="M51" s="516"/>
      <c r="N51" s="516"/>
      <c r="O51" s="516"/>
      <c r="P51" s="516"/>
      <c r="Q51" s="511">
        <v>383</v>
      </c>
      <c r="R51" s="512"/>
      <c r="S51" s="513"/>
      <c r="T51" s="514"/>
      <c r="U51" s="514"/>
      <c r="V51" s="516"/>
      <c r="W51" s="514"/>
      <c r="X51" s="511"/>
      <c r="Y51" s="515">
        <v>839</v>
      </c>
      <c r="Z51" s="514"/>
      <c r="AA51" s="516">
        <v>584</v>
      </c>
      <c r="AB51" s="516"/>
      <c r="AC51" s="513"/>
    </row>
    <row r="52" spans="2:29" s="1" customFormat="1" ht="13.5" thickBot="1">
      <c r="B52" s="1440"/>
      <c r="C52" s="1441"/>
      <c r="D52" s="1442"/>
      <c r="E52" s="1443"/>
      <c r="F52" s="1416"/>
      <c r="G52" s="1419"/>
      <c r="H52" s="1422"/>
      <c r="I52" s="1388"/>
      <c r="J52" s="1391"/>
      <c r="K52" s="540"/>
      <c r="L52" s="541"/>
      <c r="M52" s="541"/>
      <c r="N52" s="541"/>
      <c r="O52" s="541"/>
      <c r="P52" s="541"/>
      <c r="Q52" s="542">
        <v>415</v>
      </c>
      <c r="R52" s="543"/>
      <c r="S52" s="544"/>
      <c r="T52" s="540"/>
      <c r="U52" s="540"/>
      <c r="V52" s="541"/>
      <c r="W52" s="540"/>
      <c r="X52" s="542"/>
      <c r="Y52" s="545">
        <v>746</v>
      </c>
      <c r="Z52" s="540"/>
      <c r="AA52" s="541">
        <v>980</v>
      </c>
      <c r="AB52" s="541"/>
      <c r="AC52" s="544"/>
    </row>
    <row r="53" spans="2:29" s="1" customFormat="1" ht="13.5" thickBot="1">
      <c r="B53" s="1440"/>
      <c r="C53" s="1441"/>
      <c r="D53" s="1442"/>
      <c r="E53" s="1443"/>
      <c r="F53" s="1416"/>
      <c r="G53" s="1419"/>
      <c r="H53" s="1422"/>
      <c r="I53" s="1388"/>
      <c r="J53" s="1392"/>
      <c r="K53" s="540"/>
      <c r="L53" s="541"/>
      <c r="M53" s="541"/>
      <c r="N53" s="541"/>
      <c r="O53" s="541"/>
      <c r="P53" s="541"/>
      <c r="Q53" s="542">
        <v>450</v>
      </c>
      <c r="R53" s="543"/>
      <c r="S53" s="544"/>
      <c r="T53" s="540"/>
      <c r="U53" s="540"/>
      <c r="V53" s="541"/>
      <c r="W53" s="540"/>
      <c r="X53" s="542"/>
      <c r="Y53" s="545"/>
      <c r="Z53" s="540"/>
      <c r="AA53" s="541"/>
      <c r="AB53" s="541"/>
      <c r="AC53" s="544"/>
    </row>
    <row r="54" spans="2:29" s="1" customFormat="1" ht="13.5" thickBot="1">
      <c r="B54" s="1444" t="s">
        <v>153</v>
      </c>
      <c r="C54" s="1445"/>
      <c r="D54" s="1442">
        <v>20</v>
      </c>
      <c r="E54" s="1443">
        <f>D54/$D$85</f>
        <v>0.025</v>
      </c>
      <c r="F54" s="1415">
        <v>5</v>
      </c>
      <c r="G54" s="1418">
        <f>F54/D54</f>
        <v>0.25</v>
      </c>
      <c r="H54" s="1421">
        <f>(1*L5)+(1*N5)+(1*Q5)+(1*V5)+(1*Y5)</f>
        <v>1242.85</v>
      </c>
      <c r="I54" s="1387">
        <f>H54/H85</f>
        <v>0.023371467459624817</v>
      </c>
      <c r="J54" s="1391">
        <f>H54/D54</f>
        <v>62.1425</v>
      </c>
      <c r="K54" s="484"/>
      <c r="L54" s="485">
        <v>589</v>
      </c>
      <c r="M54" s="485"/>
      <c r="N54" s="485">
        <v>511</v>
      </c>
      <c r="O54" s="485"/>
      <c r="P54" s="485"/>
      <c r="Q54" s="487">
        <v>810</v>
      </c>
      <c r="R54" s="488"/>
      <c r="S54" s="489"/>
      <c r="T54" s="484"/>
      <c r="U54" s="484"/>
      <c r="V54" s="485">
        <v>710</v>
      </c>
      <c r="W54" s="484"/>
      <c r="X54" s="487"/>
      <c r="Y54" s="490">
        <v>484</v>
      </c>
      <c r="Z54" s="484"/>
      <c r="AA54" s="485"/>
      <c r="AB54" s="485"/>
      <c r="AC54" s="489"/>
    </row>
    <row r="55" spans="1:29" s="6" customFormat="1" ht="13.5" thickBot="1">
      <c r="A55" s="1"/>
      <c r="B55" s="1444"/>
      <c r="C55" s="1445"/>
      <c r="D55" s="1442"/>
      <c r="E55" s="1443"/>
      <c r="F55" s="1417"/>
      <c r="G55" s="1420"/>
      <c r="H55" s="1423"/>
      <c r="I55" s="1389"/>
      <c r="J55" s="1391"/>
      <c r="K55" s="498"/>
      <c r="L55" s="499"/>
      <c r="M55" s="505"/>
      <c r="N55" s="505"/>
      <c r="O55" s="505"/>
      <c r="P55" s="505"/>
      <c r="Q55" s="501"/>
      <c r="R55" s="502"/>
      <c r="S55" s="503"/>
      <c r="T55" s="498"/>
      <c r="U55" s="498"/>
      <c r="V55" s="505"/>
      <c r="W55" s="498"/>
      <c r="X55" s="501"/>
      <c r="Y55" s="504"/>
      <c r="Z55" s="498"/>
      <c r="AA55" s="505"/>
      <c r="AB55" s="505"/>
      <c r="AC55" s="503"/>
    </row>
    <row r="56" spans="2:29" s="1" customFormat="1" ht="13.5" thickBot="1">
      <c r="B56" s="1444" t="s">
        <v>154</v>
      </c>
      <c r="C56" s="1445"/>
      <c r="D56" s="1442">
        <v>21</v>
      </c>
      <c r="E56" s="1443">
        <f>D56/$D$85</f>
        <v>0.02625</v>
      </c>
      <c r="F56" s="1415">
        <v>4</v>
      </c>
      <c r="G56" s="1418">
        <f>F56/D56</f>
        <v>0.19047619047619047</v>
      </c>
      <c r="H56" s="1421">
        <f>(1*K5)+(1*N5)+(1*AA5)+(1*AC5)</f>
        <v>1143.6399999999999</v>
      </c>
      <c r="I56" s="1387">
        <f>H56/H85</f>
        <v>0.02150584949553472</v>
      </c>
      <c r="J56" s="1390">
        <f>H56/D56</f>
        <v>54.45904761904761</v>
      </c>
      <c r="K56" s="484">
        <v>987</v>
      </c>
      <c r="L56" s="485"/>
      <c r="M56" s="485"/>
      <c r="N56" s="485">
        <v>7</v>
      </c>
      <c r="O56" s="485"/>
      <c r="P56" s="485"/>
      <c r="Q56" s="487"/>
      <c r="R56" s="488"/>
      <c r="S56" s="489"/>
      <c r="T56" s="484"/>
      <c r="U56" s="484"/>
      <c r="V56" s="485"/>
      <c r="W56" s="484"/>
      <c r="X56" s="487"/>
      <c r="Y56" s="490"/>
      <c r="Z56" s="484"/>
      <c r="AA56" s="485">
        <v>751</v>
      </c>
      <c r="AB56" s="485"/>
      <c r="AC56" s="489">
        <v>676</v>
      </c>
    </row>
    <row r="57" spans="1:29" s="6" customFormat="1" ht="13.5" thickBot="1">
      <c r="A57" s="1"/>
      <c r="B57" s="1444"/>
      <c r="C57" s="1445"/>
      <c r="D57" s="1442"/>
      <c r="E57" s="1443"/>
      <c r="F57" s="1417"/>
      <c r="G57" s="1420"/>
      <c r="H57" s="1423"/>
      <c r="I57" s="1389"/>
      <c r="J57" s="1392"/>
      <c r="K57" s="498"/>
      <c r="L57" s="499"/>
      <c r="M57" s="505"/>
      <c r="N57" s="505"/>
      <c r="O57" s="505"/>
      <c r="P57" s="505"/>
      <c r="Q57" s="501"/>
      <c r="R57" s="502"/>
      <c r="S57" s="503"/>
      <c r="T57" s="498"/>
      <c r="U57" s="498"/>
      <c r="V57" s="505"/>
      <c r="W57" s="498"/>
      <c r="X57" s="501"/>
      <c r="Y57" s="504"/>
      <c r="Z57" s="498"/>
      <c r="AA57" s="505"/>
      <c r="AB57" s="505"/>
      <c r="AC57" s="503"/>
    </row>
    <row r="58" spans="2:29" s="1" customFormat="1" ht="13.5" thickBot="1">
      <c r="B58" s="1440" t="s">
        <v>155</v>
      </c>
      <c r="C58" s="1441"/>
      <c r="D58" s="1442">
        <v>36</v>
      </c>
      <c r="E58" s="1443">
        <f>D58/$D$85</f>
        <v>0.045</v>
      </c>
      <c r="F58" s="1415">
        <v>10</v>
      </c>
      <c r="G58" s="1418">
        <f>F58/D58</f>
        <v>0.2777777777777778</v>
      </c>
      <c r="H58" s="1421">
        <f>(2*K5)+(3*N5)+(3*Q5)+(2*AA5)</f>
        <v>2710.2799999999997</v>
      </c>
      <c r="I58" s="1387">
        <f>H58/H85</f>
        <v>0.050966102769016336</v>
      </c>
      <c r="J58" s="1390">
        <f>H58/D58</f>
        <v>75.28555555555555</v>
      </c>
      <c r="K58" s="484">
        <v>284</v>
      </c>
      <c r="L58" s="485"/>
      <c r="M58" s="485"/>
      <c r="N58" s="485">
        <v>390</v>
      </c>
      <c r="O58" s="485"/>
      <c r="P58" s="485"/>
      <c r="Q58" s="487">
        <v>689</v>
      </c>
      <c r="R58" s="488"/>
      <c r="S58" s="489"/>
      <c r="T58" s="484"/>
      <c r="U58" s="484"/>
      <c r="V58" s="485"/>
      <c r="W58" s="484"/>
      <c r="X58" s="487"/>
      <c r="Y58" s="490"/>
      <c r="Z58" s="484"/>
      <c r="AA58" s="485">
        <v>114</v>
      </c>
      <c r="AB58" s="485"/>
      <c r="AC58" s="489"/>
    </row>
    <row r="59" spans="2:29" s="1" customFormat="1" ht="13.5" thickBot="1">
      <c r="B59" s="1440"/>
      <c r="C59" s="1441"/>
      <c r="D59" s="1442"/>
      <c r="E59" s="1443"/>
      <c r="F59" s="1416"/>
      <c r="G59" s="1419"/>
      <c r="H59" s="1422"/>
      <c r="I59" s="1388"/>
      <c r="J59" s="1391"/>
      <c r="K59" s="508"/>
      <c r="L59" s="516"/>
      <c r="M59" s="516"/>
      <c r="N59" s="516">
        <v>17</v>
      </c>
      <c r="O59" s="516"/>
      <c r="P59" s="516"/>
      <c r="Q59" s="511">
        <v>200</v>
      </c>
      <c r="R59" s="512"/>
      <c r="S59" s="513"/>
      <c r="T59" s="514"/>
      <c r="U59" s="514"/>
      <c r="V59" s="516"/>
      <c r="W59" s="514"/>
      <c r="X59" s="511"/>
      <c r="Y59" s="515"/>
      <c r="Z59" s="514"/>
      <c r="AA59" s="516">
        <v>687</v>
      </c>
      <c r="AB59" s="516"/>
      <c r="AC59" s="513"/>
    </row>
    <row r="60" spans="2:29" s="1" customFormat="1" ht="13.5" thickBot="1">
      <c r="B60" s="1440"/>
      <c r="C60" s="1441"/>
      <c r="D60" s="1442"/>
      <c r="E60" s="1443"/>
      <c r="F60" s="1416"/>
      <c r="G60" s="1419"/>
      <c r="H60" s="1422"/>
      <c r="I60" s="1388"/>
      <c r="J60" s="1391"/>
      <c r="K60" s="491">
        <v>986</v>
      </c>
      <c r="L60" s="492"/>
      <c r="M60" s="492"/>
      <c r="N60" s="492">
        <v>211</v>
      </c>
      <c r="O60" s="492"/>
      <c r="P60" s="492"/>
      <c r="Q60" s="494">
        <v>661</v>
      </c>
      <c r="R60" s="495"/>
      <c r="S60" s="496"/>
      <c r="T60" s="491"/>
      <c r="U60" s="491"/>
      <c r="V60" s="492"/>
      <c r="W60" s="491"/>
      <c r="X60" s="494"/>
      <c r="Y60" s="497"/>
      <c r="Z60" s="491"/>
      <c r="AA60" s="492"/>
      <c r="AB60" s="492"/>
      <c r="AC60" s="496"/>
    </row>
    <row r="61" spans="2:29" s="1" customFormat="1" ht="13.5" thickBot="1">
      <c r="B61" s="1440"/>
      <c r="C61" s="1441"/>
      <c r="D61" s="1442"/>
      <c r="E61" s="1443"/>
      <c r="F61" s="1417"/>
      <c r="G61" s="1420"/>
      <c r="H61" s="1423"/>
      <c r="I61" s="1389"/>
      <c r="J61" s="1392"/>
      <c r="K61" s="498"/>
      <c r="L61" s="499"/>
      <c r="M61" s="505"/>
      <c r="N61" s="505"/>
      <c r="O61" s="505"/>
      <c r="P61" s="505"/>
      <c r="Q61" s="501"/>
      <c r="R61" s="502"/>
      <c r="S61" s="503"/>
      <c r="T61" s="498"/>
      <c r="U61" s="498"/>
      <c r="V61" s="505"/>
      <c r="W61" s="498"/>
      <c r="X61" s="501"/>
      <c r="Y61" s="504"/>
      <c r="Z61" s="498"/>
      <c r="AA61" s="505"/>
      <c r="AB61" s="505"/>
      <c r="AC61" s="503"/>
    </row>
    <row r="62" spans="2:30" s="1" customFormat="1" ht="13.5" thickBot="1">
      <c r="B62" s="1440" t="s">
        <v>156</v>
      </c>
      <c r="C62" s="1441"/>
      <c r="D62" s="1442">
        <v>25</v>
      </c>
      <c r="E62" s="1443">
        <f>D62/$D$85</f>
        <v>0.03125</v>
      </c>
      <c r="F62" s="1415">
        <v>14</v>
      </c>
      <c r="G62" s="1418">
        <f>F62/D62</f>
        <v>0.56</v>
      </c>
      <c r="H62" s="1421">
        <f>(2*K5)+(3*M5)+(1*O5)+(1*R5)+(3*S5)+(1*W5)+(2*Y5)+(1*AA5)</f>
        <v>3761.3</v>
      </c>
      <c r="I62" s="1387">
        <f>H62/H85</f>
        <v>0.07073025751771078</v>
      </c>
      <c r="J62" s="1390">
        <f>H62/D62</f>
        <v>150.452</v>
      </c>
      <c r="K62" s="484">
        <v>323</v>
      </c>
      <c r="L62" s="485"/>
      <c r="M62" s="485">
        <v>41</v>
      </c>
      <c r="N62" s="485"/>
      <c r="O62" s="485">
        <v>345</v>
      </c>
      <c r="P62" s="485"/>
      <c r="Q62" s="487"/>
      <c r="R62" s="488">
        <v>266</v>
      </c>
      <c r="S62" s="489">
        <v>30</v>
      </c>
      <c r="T62" s="484"/>
      <c r="U62" s="484"/>
      <c r="V62" s="485"/>
      <c r="W62" s="484">
        <v>470</v>
      </c>
      <c r="X62" s="487"/>
      <c r="Y62" s="490">
        <v>344</v>
      </c>
      <c r="Z62" s="484"/>
      <c r="AA62" s="485">
        <v>26</v>
      </c>
      <c r="AB62" s="485"/>
      <c r="AC62" s="489"/>
      <c r="AD62" s="393"/>
    </row>
    <row r="63" spans="2:30" s="1" customFormat="1" ht="13.5" thickBot="1">
      <c r="B63" s="1440"/>
      <c r="C63" s="1441"/>
      <c r="D63" s="1442"/>
      <c r="E63" s="1443"/>
      <c r="F63" s="1416"/>
      <c r="G63" s="1419"/>
      <c r="H63" s="1422"/>
      <c r="I63" s="1388"/>
      <c r="J63" s="1391"/>
      <c r="K63" s="523">
        <v>91</v>
      </c>
      <c r="L63" s="524"/>
      <c r="M63" s="524">
        <v>348</v>
      </c>
      <c r="N63" s="524"/>
      <c r="O63" s="524"/>
      <c r="P63" s="524"/>
      <c r="Q63" s="525"/>
      <c r="R63" s="526"/>
      <c r="S63" s="527">
        <v>108</v>
      </c>
      <c r="T63" s="523"/>
      <c r="U63" s="523"/>
      <c r="V63" s="524"/>
      <c r="W63" s="523"/>
      <c r="X63" s="525"/>
      <c r="Y63" s="528">
        <v>421</v>
      </c>
      <c r="Z63" s="523"/>
      <c r="AA63" s="524"/>
      <c r="AB63" s="524"/>
      <c r="AC63" s="527"/>
      <c r="AD63" s="393"/>
    </row>
    <row r="64" spans="2:30" s="1" customFormat="1" ht="13.5" thickBot="1">
      <c r="B64" s="1440"/>
      <c r="C64" s="1441"/>
      <c r="D64" s="1442"/>
      <c r="E64" s="1443"/>
      <c r="F64" s="1416"/>
      <c r="G64" s="1419"/>
      <c r="H64" s="1422"/>
      <c r="I64" s="1388"/>
      <c r="J64" s="1391"/>
      <c r="K64" s="523"/>
      <c r="L64" s="524"/>
      <c r="M64" s="524">
        <v>961</v>
      </c>
      <c r="N64" s="524"/>
      <c r="O64" s="524"/>
      <c r="P64" s="524"/>
      <c r="Q64" s="525"/>
      <c r="R64" s="526"/>
      <c r="S64" s="527">
        <v>663</v>
      </c>
      <c r="T64" s="523"/>
      <c r="U64" s="523"/>
      <c r="V64" s="524"/>
      <c r="W64" s="523"/>
      <c r="X64" s="525"/>
      <c r="Y64" s="528"/>
      <c r="Z64" s="523"/>
      <c r="AA64" s="524"/>
      <c r="AB64" s="524"/>
      <c r="AC64" s="527"/>
      <c r="AD64" s="393"/>
    </row>
    <row r="65" spans="2:29" s="1" customFormat="1" ht="12.75">
      <c r="B65" s="1424" t="s">
        <v>157</v>
      </c>
      <c r="C65" s="1435"/>
      <c r="D65" s="1438">
        <v>35</v>
      </c>
      <c r="E65" s="1418">
        <f>D65/$D$85</f>
        <v>0.04375</v>
      </c>
      <c r="F65" s="1415">
        <v>5</v>
      </c>
      <c r="G65" s="1418">
        <f>F65/D65</f>
        <v>0.14285714285714285</v>
      </c>
      <c r="H65" s="1421">
        <f>(2*K5)+(1*M5)+(1*AB5)+(1*AC5)</f>
        <v>1476.92</v>
      </c>
      <c r="I65" s="1387">
        <f>H65/H85</f>
        <v>0.027773092264126074</v>
      </c>
      <c r="J65" s="1390">
        <f>H65/D65</f>
        <v>42.19771428571429</v>
      </c>
      <c r="K65" s="484">
        <v>382</v>
      </c>
      <c r="L65" s="485"/>
      <c r="M65" s="485">
        <v>531</v>
      </c>
      <c r="N65" s="485"/>
      <c r="O65" s="485"/>
      <c r="P65" s="485"/>
      <c r="Q65" s="487"/>
      <c r="R65" s="488"/>
      <c r="S65" s="489"/>
      <c r="T65" s="484"/>
      <c r="U65" s="484"/>
      <c r="V65" s="485"/>
      <c r="W65" s="484"/>
      <c r="X65" s="487"/>
      <c r="Y65" s="490"/>
      <c r="Z65" s="484"/>
      <c r="AA65" s="485"/>
      <c r="AB65" s="485">
        <v>263</v>
      </c>
      <c r="AC65" s="489">
        <v>694</v>
      </c>
    </row>
    <row r="66" spans="2:29" s="1" customFormat="1" ht="12.75">
      <c r="B66" s="1432"/>
      <c r="C66" s="1433"/>
      <c r="D66" s="1434"/>
      <c r="E66" s="1419"/>
      <c r="F66" s="1416"/>
      <c r="G66" s="1419"/>
      <c r="H66" s="1422"/>
      <c r="I66" s="1388"/>
      <c r="J66" s="1391"/>
      <c r="K66" s="523">
        <v>1528</v>
      </c>
      <c r="L66" s="524"/>
      <c r="M66" s="524"/>
      <c r="N66" s="524"/>
      <c r="O66" s="524"/>
      <c r="P66" s="524"/>
      <c r="Q66" s="525"/>
      <c r="R66" s="526"/>
      <c r="S66" s="527"/>
      <c r="T66" s="523"/>
      <c r="U66" s="523"/>
      <c r="V66" s="524"/>
      <c r="W66" s="523"/>
      <c r="X66" s="525"/>
      <c r="Y66" s="528"/>
      <c r="Z66" s="523"/>
      <c r="AA66" s="524"/>
      <c r="AB66" s="524"/>
      <c r="AC66" s="527"/>
    </row>
    <row r="67" spans="2:29" s="1" customFormat="1" ht="12.75">
      <c r="B67" s="1432"/>
      <c r="C67" s="1433"/>
      <c r="D67" s="1434"/>
      <c r="E67" s="1419"/>
      <c r="F67" s="1416"/>
      <c r="G67" s="1419"/>
      <c r="H67" s="1422"/>
      <c r="I67" s="1388"/>
      <c r="J67" s="1391"/>
      <c r="K67" s="523"/>
      <c r="L67" s="524"/>
      <c r="M67" s="524"/>
      <c r="N67" s="524"/>
      <c r="O67" s="524"/>
      <c r="P67" s="524"/>
      <c r="Q67" s="525"/>
      <c r="R67" s="526"/>
      <c r="S67" s="527"/>
      <c r="T67" s="523"/>
      <c r="U67" s="523"/>
      <c r="V67" s="524"/>
      <c r="W67" s="523"/>
      <c r="X67" s="525"/>
      <c r="Y67" s="528"/>
      <c r="Z67" s="523"/>
      <c r="AA67" s="524"/>
      <c r="AB67" s="524"/>
      <c r="AC67" s="527"/>
    </row>
    <row r="68" spans="2:29" s="1" customFormat="1" ht="13.5" thickBot="1">
      <c r="B68" s="1436"/>
      <c r="C68" s="1437"/>
      <c r="D68" s="1439"/>
      <c r="E68" s="1420"/>
      <c r="F68" s="1417"/>
      <c r="G68" s="1420"/>
      <c r="H68" s="1423"/>
      <c r="I68" s="1389"/>
      <c r="J68" s="1392"/>
      <c r="K68" s="514"/>
      <c r="L68" s="516"/>
      <c r="M68" s="516"/>
      <c r="N68" s="516"/>
      <c r="O68" s="516"/>
      <c r="P68" s="516"/>
      <c r="Q68" s="511"/>
      <c r="R68" s="512"/>
      <c r="S68" s="513"/>
      <c r="T68" s="514"/>
      <c r="U68" s="514"/>
      <c r="V68" s="516"/>
      <c r="W68" s="514"/>
      <c r="X68" s="511"/>
      <c r="Y68" s="515"/>
      <c r="Z68" s="514"/>
      <c r="AA68" s="516"/>
      <c r="AB68" s="516"/>
      <c r="AC68" s="513"/>
    </row>
    <row r="69" spans="2:29" s="1" customFormat="1" ht="12.75">
      <c r="B69" s="1432" t="s">
        <v>158</v>
      </c>
      <c r="C69" s="1433"/>
      <c r="D69" s="1434">
        <v>56</v>
      </c>
      <c r="E69" s="1419">
        <f>D69/$D$85</f>
        <v>0.07</v>
      </c>
      <c r="F69" s="1415">
        <v>8</v>
      </c>
      <c r="G69" s="1418">
        <f>F69/D69</f>
        <v>0.14285714285714285</v>
      </c>
      <c r="H69" s="1421">
        <f>(1*K5)+(4*M5)+(1*S5)+(1*V5)+(1*Y5)</f>
        <v>1900.52</v>
      </c>
      <c r="I69" s="1387">
        <f>H69/H85</f>
        <v>0.03573877888431119</v>
      </c>
      <c r="J69" s="1390">
        <f>H69/D69</f>
        <v>33.93785714285714</v>
      </c>
      <c r="K69" s="484">
        <v>842</v>
      </c>
      <c r="L69" s="485"/>
      <c r="M69" s="485">
        <v>959</v>
      </c>
      <c r="N69" s="485"/>
      <c r="O69" s="485"/>
      <c r="P69" s="485"/>
      <c r="Q69" s="487"/>
      <c r="R69" s="488"/>
      <c r="S69" s="489">
        <v>892</v>
      </c>
      <c r="T69" s="484"/>
      <c r="U69" s="484"/>
      <c r="V69" s="485">
        <v>431</v>
      </c>
      <c r="W69" s="484"/>
      <c r="X69" s="487"/>
      <c r="Y69" s="490">
        <v>460</v>
      </c>
      <c r="Z69" s="484"/>
      <c r="AA69" s="485"/>
      <c r="AB69" s="485"/>
      <c r="AC69" s="489"/>
    </row>
    <row r="70" spans="2:29" s="1" customFormat="1" ht="12.75">
      <c r="B70" s="1432"/>
      <c r="C70" s="1433"/>
      <c r="D70" s="1434"/>
      <c r="E70" s="1419"/>
      <c r="F70" s="1416"/>
      <c r="G70" s="1419"/>
      <c r="H70" s="1422"/>
      <c r="I70" s="1388"/>
      <c r="J70" s="1391"/>
      <c r="K70" s="514"/>
      <c r="L70" s="516"/>
      <c r="M70" s="516">
        <v>371</v>
      </c>
      <c r="N70" s="516"/>
      <c r="O70" s="516"/>
      <c r="P70" s="516"/>
      <c r="Q70" s="511"/>
      <c r="R70" s="512"/>
      <c r="S70" s="513"/>
      <c r="T70" s="514"/>
      <c r="U70" s="514"/>
      <c r="V70" s="516"/>
      <c r="W70" s="514"/>
      <c r="X70" s="511"/>
      <c r="Y70" s="515"/>
      <c r="Z70" s="514"/>
      <c r="AA70" s="516"/>
      <c r="AB70" s="516"/>
      <c r="AC70" s="513"/>
    </row>
    <row r="71" spans="2:29" s="1" customFormat="1" ht="12.75">
      <c r="B71" s="1432"/>
      <c r="C71" s="1433"/>
      <c r="D71" s="1434"/>
      <c r="E71" s="1419"/>
      <c r="F71" s="1416"/>
      <c r="G71" s="1419"/>
      <c r="H71" s="1422"/>
      <c r="I71" s="1388"/>
      <c r="J71" s="1391"/>
      <c r="K71" s="514"/>
      <c r="L71" s="516"/>
      <c r="M71" s="516">
        <v>387</v>
      </c>
      <c r="N71" s="516"/>
      <c r="O71" s="516"/>
      <c r="P71" s="516"/>
      <c r="Q71" s="511"/>
      <c r="R71" s="512"/>
      <c r="S71" s="513"/>
      <c r="T71" s="514"/>
      <c r="U71" s="514"/>
      <c r="V71" s="516"/>
      <c r="W71" s="514"/>
      <c r="X71" s="511"/>
      <c r="Y71" s="515"/>
      <c r="Z71" s="514"/>
      <c r="AA71" s="516"/>
      <c r="AB71" s="516"/>
      <c r="AC71" s="513"/>
    </row>
    <row r="72" spans="2:29" s="1" customFormat="1" ht="13.5" thickBot="1">
      <c r="B72" s="1432"/>
      <c r="C72" s="1433"/>
      <c r="D72" s="1434"/>
      <c r="E72" s="1419"/>
      <c r="F72" s="1416"/>
      <c r="G72" s="1419"/>
      <c r="H72" s="1422"/>
      <c r="I72" s="1388"/>
      <c r="J72" s="1391"/>
      <c r="K72" s="514"/>
      <c r="L72" s="516"/>
      <c r="M72" s="516">
        <v>365</v>
      </c>
      <c r="N72" s="516"/>
      <c r="O72" s="516"/>
      <c r="P72" s="516"/>
      <c r="Q72" s="511"/>
      <c r="R72" s="512"/>
      <c r="S72" s="513"/>
      <c r="T72" s="514"/>
      <c r="U72" s="514"/>
      <c r="V72" s="516"/>
      <c r="W72" s="514"/>
      <c r="X72" s="511"/>
      <c r="Y72" s="515"/>
      <c r="Z72" s="514"/>
      <c r="AA72" s="516"/>
      <c r="AB72" s="516"/>
      <c r="AC72" s="513"/>
    </row>
    <row r="73" spans="1:30" ht="12.75" customHeight="1">
      <c r="A73" s="5"/>
      <c r="B73" s="1424" t="s">
        <v>159</v>
      </c>
      <c r="C73" s="1425"/>
      <c r="D73" s="1415">
        <v>76</v>
      </c>
      <c r="E73" s="1418">
        <f>D73/$D$85</f>
        <v>0.095</v>
      </c>
      <c r="F73" s="1415">
        <v>18</v>
      </c>
      <c r="G73" s="1418">
        <f>F73/D73</f>
        <v>0.23684210526315788</v>
      </c>
      <c r="H73" s="1421">
        <f>(2*M5)+(3*N5)+(2*R5)+(2*S5)+(3*V5)+(1*W5)+(1*Y5)+(2*Z5)+(3*AB5)+(1*AC5)</f>
        <v>6598.8099999999995</v>
      </c>
      <c r="I73" s="1387">
        <f>H73/H85</f>
        <v>0.1240888869833422</v>
      </c>
      <c r="J73" s="1390">
        <f>H73/D73</f>
        <v>86.82644736842104</v>
      </c>
      <c r="K73" s="484"/>
      <c r="L73" s="485"/>
      <c r="M73" s="485">
        <v>514</v>
      </c>
      <c r="N73" s="485">
        <v>307</v>
      </c>
      <c r="O73" s="485"/>
      <c r="P73" s="485"/>
      <c r="Q73" s="487"/>
      <c r="R73" s="488">
        <v>499</v>
      </c>
      <c r="S73" s="489">
        <v>789</v>
      </c>
      <c r="T73" s="484"/>
      <c r="U73" s="484"/>
      <c r="V73" s="485">
        <v>445</v>
      </c>
      <c r="W73" s="506">
        <v>36</v>
      </c>
      <c r="X73" s="487"/>
      <c r="Y73" s="490">
        <v>317</v>
      </c>
      <c r="Z73" s="484">
        <v>287</v>
      </c>
      <c r="AA73" s="485"/>
      <c r="AB73" s="485">
        <v>287</v>
      </c>
      <c r="AC73" s="489">
        <v>375</v>
      </c>
      <c r="AD73" s="241"/>
    </row>
    <row r="74" spans="1:30" ht="12.75">
      <c r="A74" s="5"/>
      <c r="B74" s="1426"/>
      <c r="C74" s="1427"/>
      <c r="D74" s="1430"/>
      <c r="E74" s="1419"/>
      <c r="F74" s="1416"/>
      <c r="G74" s="1419"/>
      <c r="H74" s="1422"/>
      <c r="I74" s="1388"/>
      <c r="J74" s="1391"/>
      <c r="K74" s="523"/>
      <c r="L74" s="524"/>
      <c r="M74" s="524">
        <v>1261</v>
      </c>
      <c r="N74" s="524">
        <v>315</v>
      </c>
      <c r="O74" s="524"/>
      <c r="P74" s="524"/>
      <c r="Q74" s="525"/>
      <c r="R74" s="526">
        <v>324</v>
      </c>
      <c r="S74" s="527">
        <v>800</v>
      </c>
      <c r="T74" s="523"/>
      <c r="U74" s="523"/>
      <c r="V74" s="524">
        <v>172</v>
      </c>
      <c r="W74" s="551"/>
      <c r="X74" s="525"/>
      <c r="Y74" s="528"/>
      <c r="Z74" s="523">
        <v>833</v>
      </c>
      <c r="AA74" s="524"/>
      <c r="AB74" s="524">
        <v>833</v>
      </c>
      <c r="AC74" s="527"/>
      <c r="AD74" s="241"/>
    </row>
    <row r="75" spans="1:30" ht="12.75">
      <c r="A75" s="5"/>
      <c r="B75" s="1426"/>
      <c r="C75" s="1427"/>
      <c r="D75" s="1430"/>
      <c r="E75" s="1419"/>
      <c r="F75" s="1416"/>
      <c r="G75" s="1419"/>
      <c r="H75" s="1422"/>
      <c r="I75" s="1388"/>
      <c r="J75" s="1391"/>
      <c r="K75" s="523"/>
      <c r="L75" s="524"/>
      <c r="M75" s="524"/>
      <c r="N75" s="524">
        <v>462</v>
      </c>
      <c r="O75" s="524"/>
      <c r="P75" s="524"/>
      <c r="Q75" s="525"/>
      <c r="R75" s="526"/>
      <c r="S75" s="527"/>
      <c r="T75" s="523"/>
      <c r="U75" s="523"/>
      <c r="V75" s="524">
        <v>221</v>
      </c>
      <c r="W75" s="551"/>
      <c r="X75" s="525"/>
      <c r="Y75" s="528"/>
      <c r="Z75" s="523"/>
      <c r="AA75" s="524"/>
      <c r="AB75" s="524">
        <v>754</v>
      </c>
      <c r="AC75" s="527"/>
      <c r="AD75" s="241"/>
    </row>
    <row r="76" spans="1:30" ht="13.5" thickBot="1">
      <c r="A76" s="5"/>
      <c r="B76" s="1428"/>
      <c r="C76" s="1429"/>
      <c r="D76" s="1431"/>
      <c r="E76" s="1420"/>
      <c r="F76" s="1416"/>
      <c r="G76" s="1419"/>
      <c r="H76" s="1422"/>
      <c r="I76" s="1388"/>
      <c r="J76" s="1391"/>
      <c r="K76" s="514"/>
      <c r="L76" s="516"/>
      <c r="M76" s="516"/>
      <c r="N76" s="516"/>
      <c r="O76" s="516"/>
      <c r="P76" s="516"/>
      <c r="Q76" s="511"/>
      <c r="R76" s="512"/>
      <c r="S76" s="513"/>
      <c r="T76" s="514"/>
      <c r="U76" s="514"/>
      <c r="V76" s="516"/>
      <c r="W76" s="508"/>
      <c r="X76" s="511"/>
      <c r="Y76" s="515"/>
      <c r="Z76" s="514"/>
      <c r="AA76" s="516"/>
      <c r="AB76" s="516"/>
      <c r="AC76" s="513"/>
      <c r="AD76" s="241"/>
    </row>
    <row r="77" spans="1:29" ht="12.75">
      <c r="A77" s="5"/>
      <c r="B77" s="1399" t="s">
        <v>160</v>
      </c>
      <c r="C77" s="1400"/>
      <c r="D77" s="1407">
        <v>81</v>
      </c>
      <c r="E77" s="1411">
        <f>D77/$D$85</f>
        <v>0.10125</v>
      </c>
      <c r="F77" s="1415">
        <v>18</v>
      </c>
      <c r="G77" s="1418">
        <f>F77/D77</f>
        <v>0.2222222222222222</v>
      </c>
      <c r="H77" s="1421">
        <f>SUM(4*K5)+(1*M5)+(2*N5)+(2*O5)+(1*X5)+(1*AA5)+(7*AC5)</f>
        <v>5100.34</v>
      </c>
      <c r="I77" s="1387">
        <f>H77/H85</f>
        <v>0.0959105526354933</v>
      </c>
      <c r="J77" s="1390">
        <f>H77/D77</f>
        <v>62.967160493827166</v>
      </c>
      <c r="K77" s="484">
        <v>749</v>
      </c>
      <c r="L77" s="485"/>
      <c r="M77" s="485">
        <v>166</v>
      </c>
      <c r="N77" s="485">
        <v>978</v>
      </c>
      <c r="O77" s="485">
        <v>225</v>
      </c>
      <c r="P77" s="485"/>
      <c r="Q77" s="487"/>
      <c r="R77" s="488"/>
      <c r="S77" s="489"/>
      <c r="T77" s="484"/>
      <c r="U77" s="484"/>
      <c r="V77" s="485"/>
      <c r="W77" s="506"/>
      <c r="X77" s="489">
        <v>767</v>
      </c>
      <c r="Y77" s="531"/>
      <c r="Z77" s="506"/>
      <c r="AA77" s="485">
        <v>704</v>
      </c>
      <c r="AB77" s="485"/>
      <c r="AC77" s="489">
        <v>414</v>
      </c>
    </row>
    <row r="78" spans="1:29" ht="12.75">
      <c r="A78" s="5"/>
      <c r="B78" s="1401"/>
      <c r="C78" s="1402"/>
      <c r="D78" s="1408"/>
      <c r="E78" s="1412"/>
      <c r="F78" s="1416"/>
      <c r="G78" s="1419"/>
      <c r="H78" s="1422"/>
      <c r="I78" s="1388"/>
      <c r="J78" s="1391"/>
      <c r="K78" s="514">
        <v>37</v>
      </c>
      <c r="L78" s="516"/>
      <c r="M78" s="516"/>
      <c r="N78" s="516">
        <v>569</v>
      </c>
      <c r="O78" s="516">
        <v>695</v>
      </c>
      <c r="P78" s="516"/>
      <c r="Q78" s="511"/>
      <c r="R78" s="512"/>
      <c r="S78" s="513"/>
      <c r="T78" s="514"/>
      <c r="U78" s="514"/>
      <c r="V78" s="516"/>
      <c r="W78" s="508"/>
      <c r="X78" s="513"/>
      <c r="Y78" s="533"/>
      <c r="Z78" s="508"/>
      <c r="AA78" s="516"/>
      <c r="AB78" s="516"/>
      <c r="AC78" s="513">
        <v>355</v>
      </c>
    </row>
    <row r="79" spans="1:29" ht="13.5">
      <c r="A79" s="5"/>
      <c r="B79" s="1401"/>
      <c r="C79" s="1402"/>
      <c r="D79" s="1408"/>
      <c r="E79" s="1412"/>
      <c r="F79" s="1416"/>
      <c r="G79" s="1419"/>
      <c r="H79" s="1422"/>
      <c r="I79" s="1388"/>
      <c r="J79" s="1391"/>
      <c r="K79" s="514">
        <v>24</v>
      </c>
      <c r="L79" s="516"/>
      <c r="M79" s="516"/>
      <c r="N79" s="516"/>
      <c r="O79" s="516"/>
      <c r="P79" s="516"/>
      <c r="Q79" s="511"/>
      <c r="R79" s="512"/>
      <c r="S79" s="513"/>
      <c r="T79" s="514"/>
      <c r="U79" s="514"/>
      <c r="V79" s="516"/>
      <c r="W79" s="508"/>
      <c r="X79" s="513"/>
      <c r="Y79" s="533"/>
      <c r="Z79" s="508"/>
      <c r="AA79" s="516"/>
      <c r="AB79" s="516"/>
      <c r="AC79" s="513">
        <v>780</v>
      </c>
    </row>
    <row r="80" spans="1:29" ht="13.5">
      <c r="A80" s="5"/>
      <c r="B80" s="1401"/>
      <c r="C80" s="1402"/>
      <c r="D80" s="1408"/>
      <c r="E80" s="1412"/>
      <c r="F80" s="1416"/>
      <c r="G80" s="1419"/>
      <c r="H80" s="1422"/>
      <c r="I80" s="1388"/>
      <c r="J80" s="1391"/>
      <c r="K80" s="514">
        <v>352</v>
      </c>
      <c r="L80" s="516"/>
      <c r="M80" s="516"/>
      <c r="N80" s="516"/>
      <c r="O80" s="516"/>
      <c r="P80" s="516"/>
      <c r="Q80" s="511"/>
      <c r="R80" s="512"/>
      <c r="S80" s="513"/>
      <c r="T80" s="514"/>
      <c r="U80" s="514"/>
      <c r="V80" s="516"/>
      <c r="W80" s="508"/>
      <c r="X80" s="513"/>
      <c r="Y80" s="533"/>
      <c r="Z80" s="508"/>
      <c r="AA80" s="516"/>
      <c r="AB80" s="516"/>
      <c r="AC80" s="513">
        <v>738</v>
      </c>
    </row>
    <row r="81" spans="1:29" ht="13.5">
      <c r="A81" s="5"/>
      <c r="B81" s="1403"/>
      <c r="C81" s="1404"/>
      <c r="D81" s="1409"/>
      <c r="E81" s="1413"/>
      <c r="F81" s="1416"/>
      <c r="G81" s="1419"/>
      <c r="H81" s="1422"/>
      <c r="I81" s="1388"/>
      <c r="J81" s="1391"/>
      <c r="K81" s="540"/>
      <c r="L81" s="541"/>
      <c r="M81" s="541"/>
      <c r="N81" s="541"/>
      <c r="O81" s="541"/>
      <c r="P81" s="541"/>
      <c r="Q81" s="542"/>
      <c r="R81" s="543"/>
      <c r="S81" s="544"/>
      <c r="T81" s="540"/>
      <c r="U81" s="540"/>
      <c r="V81" s="541"/>
      <c r="W81" s="552"/>
      <c r="X81" s="544"/>
      <c r="Y81" s="553"/>
      <c r="Z81" s="552"/>
      <c r="AA81" s="541"/>
      <c r="AB81" s="541"/>
      <c r="AC81" s="544">
        <v>812</v>
      </c>
    </row>
    <row r="82" spans="1:29" ht="13.5">
      <c r="A82" s="5"/>
      <c r="B82" s="1403"/>
      <c r="C82" s="1404"/>
      <c r="D82" s="1409"/>
      <c r="E82" s="1413"/>
      <c r="F82" s="1416"/>
      <c r="G82" s="1419"/>
      <c r="H82" s="1422"/>
      <c r="I82" s="1388"/>
      <c r="J82" s="1391"/>
      <c r="K82" s="540"/>
      <c r="L82" s="541"/>
      <c r="M82" s="541"/>
      <c r="N82" s="541"/>
      <c r="O82" s="541"/>
      <c r="P82" s="541"/>
      <c r="Q82" s="542"/>
      <c r="R82" s="543"/>
      <c r="S82" s="544"/>
      <c r="T82" s="540"/>
      <c r="U82" s="540"/>
      <c r="V82" s="541"/>
      <c r="W82" s="552"/>
      <c r="X82" s="544"/>
      <c r="Y82" s="553"/>
      <c r="Z82" s="552"/>
      <c r="AA82" s="541"/>
      <c r="AB82" s="541"/>
      <c r="AC82" s="544">
        <v>824</v>
      </c>
    </row>
    <row r="83" spans="1:29" ht="15" thickBot="1">
      <c r="A83" s="5"/>
      <c r="B83" s="1405"/>
      <c r="C83" s="1406"/>
      <c r="D83" s="1410"/>
      <c r="E83" s="1414"/>
      <c r="F83" s="1417"/>
      <c r="G83" s="1420"/>
      <c r="H83" s="1423"/>
      <c r="I83" s="1389"/>
      <c r="J83" s="1392"/>
      <c r="K83" s="498"/>
      <c r="L83" s="505"/>
      <c r="M83" s="505"/>
      <c r="N83" s="505"/>
      <c r="O83" s="505"/>
      <c r="P83" s="505"/>
      <c r="Q83" s="501"/>
      <c r="R83" s="502"/>
      <c r="S83" s="503"/>
      <c r="T83" s="498"/>
      <c r="U83" s="498"/>
      <c r="V83" s="505"/>
      <c r="W83" s="538"/>
      <c r="X83" s="503"/>
      <c r="Y83" s="554"/>
      <c r="Z83" s="538"/>
      <c r="AA83" s="505"/>
      <c r="AB83" s="505"/>
      <c r="AC83" s="503">
        <v>444</v>
      </c>
    </row>
    <row r="84" spans="1:29" ht="25.5" customHeight="1" thickBot="1">
      <c r="A84" s="5"/>
      <c r="B84" s="1393" t="s">
        <v>45</v>
      </c>
      <c r="C84" s="1394"/>
      <c r="D84" s="555"/>
      <c r="E84" s="556"/>
      <c r="F84" s="555"/>
      <c r="G84" s="556"/>
      <c r="H84" s="557"/>
      <c r="I84" s="558"/>
      <c r="J84" s="558"/>
      <c r="K84" s="559">
        <v>30</v>
      </c>
      <c r="L84" s="560">
        <v>3</v>
      </c>
      <c r="M84" s="560">
        <v>25</v>
      </c>
      <c r="N84" s="560">
        <v>17</v>
      </c>
      <c r="O84" s="560">
        <v>10</v>
      </c>
      <c r="P84" s="560">
        <v>3</v>
      </c>
      <c r="Q84" s="561">
        <v>14</v>
      </c>
      <c r="R84" s="562">
        <v>4</v>
      </c>
      <c r="S84" s="563">
        <v>12</v>
      </c>
      <c r="T84" s="559">
        <v>10</v>
      </c>
      <c r="U84" s="559">
        <v>1</v>
      </c>
      <c r="V84" s="560">
        <v>14</v>
      </c>
      <c r="W84" s="559">
        <v>8</v>
      </c>
      <c r="X84" s="561">
        <v>1</v>
      </c>
      <c r="Y84" s="564">
        <v>9</v>
      </c>
      <c r="Z84" s="559">
        <v>5</v>
      </c>
      <c r="AA84" s="560">
        <v>21</v>
      </c>
      <c r="AB84" s="560">
        <v>3</v>
      </c>
      <c r="AC84" s="563">
        <v>16</v>
      </c>
    </row>
    <row r="85" spans="1:29" ht="26.25" customHeight="1" thickBot="1" thickTop="1">
      <c r="A85" s="5"/>
      <c r="B85" s="1395" t="s">
        <v>161</v>
      </c>
      <c r="C85" s="1396"/>
      <c r="D85" s="565">
        <f>SUM(D6:D83)</f>
        <v>800</v>
      </c>
      <c r="E85" s="566"/>
      <c r="F85" s="565">
        <f>SUM(F6:F83)</f>
        <v>206</v>
      </c>
      <c r="G85" s="567">
        <f>F85/D85</f>
        <v>0.2575</v>
      </c>
      <c r="H85" s="568">
        <f>SUM(H6:H83)</f>
        <v>53178.09</v>
      </c>
      <c r="I85" s="569"/>
      <c r="J85" s="570"/>
      <c r="K85" s="571">
        <f aca="true" t="shared" si="0" ref="K85:AC85">K5*K84</f>
        <v>10519.199999999999</v>
      </c>
      <c r="L85" s="571">
        <f t="shared" si="0"/>
        <v>710.34</v>
      </c>
      <c r="M85" s="571">
        <f t="shared" si="0"/>
        <v>4391</v>
      </c>
      <c r="N85" s="571">
        <f t="shared" si="0"/>
        <v>5406</v>
      </c>
      <c r="O85" s="571">
        <f t="shared" si="0"/>
        <v>1853.8</v>
      </c>
      <c r="P85" s="571">
        <f t="shared" si="0"/>
        <v>215.28000000000003</v>
      </c>
      <c r="Q85" s="571">
        <f t="shared" si="0"/>
        <v>3290</v>
      </c>
      <c r="R85" s="571">
        <f t="shared" si="0"/>
        <v>2810.76</v>
      </c>
      <c r="S85" s="571">
        <f t="shared" si="0"/>
        <v>4731</v>
      </c>
      <c r="T85" s="571">
        <f t="shared" si="0"/>
        <v>1220</v>
      </c>
      <c r="U85" s="571">
        <f t="shared" si="0"/>
        <v>113.02</v>
      </c>
      <c r="V85" s="571">
        <f t="shared" si="0"/>
        <v>5129.04</v>
      </c>
      <c r="W85" s="571">
        <f t="shared" si="0"/>
        <v>910.88</v>
      </c>
      <c r="X85" s="571">
        <f t="shared" si="0"/>
        <v>240.38</v>
      </c>
      <c r="Y85" s="571">
        <f t="shared" si="0"/>
        <v>780.39</v>
      </c>
      <c r="Z85" s="571">
        <f t="shared" si="0"/>
        <v>1500</v>
      </c>
      <c r="AA85" s="571">
        <f t="shared" si="0"/>
        <v>3675</v>
      </c>
      <c r="AB85" s="571">
        <f t="shared" si="0"/>
        <v>900</v>
      </c>
      <c r="AC85" s="571">
        <f t="shared" si="0"/>
        <v>4800</v>
      </c>
    </row>
    <row r="86" spans="2:29" ht="15" customHeight="1" thickBot="1" thickTop="1">
      <c r="B86" s="572"/>
      <c r="C86" s="572"/>
      <c r="D86" s="572"/>
      <c r="E86" s="572"/>
      <c r="F86" s="572"/>
      <c r="G86" s="573"/>
      <c r="H86" s="572"/>
      <c r="I86" s="573"/>
      <c r="J86" s="573"/>
      <c r="K86" s="572"/>
      <c r="L86" s="572"/>
      <c r="M86" s="572"/>
      <c r="N86" s="572"/>
      <c r="O86" s="572"/>
      <c r="P86" s="572"/>
      <c r="Q86" s="572"/>
      <c r="R86" s="572"/>
      <c r="S86" s="572"/>
      <c r="T86" s="572"/>
      <c r="U86" s="572"/>
      <c r="V86" s="572"/>
      <c r="W86" s="572"/>
      <c r="X86" s="572"/>
      <c r="Y86" s="572"/>
      <c r="Z86" s="572"/>
      <c r="AA86" s="572"/>
      <c r="AB86" s="572"/>
      <c r="AC86" s="572"/>
    </row>
    <row r="87" spans="2:29" ht="22.5" thickBot="1" thickTop="1">
      <c r="B87" s="1397" t="s">
        <v>58</v>
      </c>
      <c r="C87" s="1398"/>
      <c r="D87" s="1398"/>
      <c r="E87" s="1398"/>
      <c r="F87" s="1398"/>
      <c r="G87" s="1398"/>
      <c r="H87" s="1398"/>
      <c r="I87" s="1398"/>
      <c r="J87" s="1398"/>
      <c r="K87" s="1398"/>
      <c r="L87" s="1398"/>
      <c r="M87" s="574">
        <f>SUM(F6:F83)</f>
        <v>206</v>
      </c>
      <c r="N87" s="575"/>
      <c r="O87" s="576"/>
      <c r="P87" s="577"/>
      <c r="Q87" s="576"/>
      <c r="R87" s="576"/>
      <c r="S87" s="576"/>
      <c r="T87" s="576"/>
      <c r="U87" s="576"/>
      <c r="V87" s="576"/>
      <c r="W87" s="576"/>
      <c r="X87" s="576"/>
      <c r="Y87" s="576"/>
      <c r="Z87" s="576"/>
      <c r="AA87" s="578"/>
      <c r="AB87" s="576"/>
      <c r="AC87" s="576"/>
    </row>
    <row r="88" ht="13.5" thickTop="1"/>
  </sheetData>
  <sheetProtection/>
  <mergeCells count="196">
    <mergeCell ref="B2:C3"/>
    <mergeCell ref="D2:D3"/>
    <mergeCell ref="E2:E3"/>
    <mergeCell ref="F2:F3"/>
    <mergeCell ref="G2:G3"/>
    <mergeCell ref="H2:H3"/>
    <mergeCell ref="I2:I3"/>
    <mergeCell ref="J2:J3"/>
    <mergeCell ref="K2:Q2"/>
    <mergeCell ref="R2:S2"/>
    <mergeCell ref="T2:V2"/>
    <mergeCell ref="W2:X2"/>
    <mergeCell ref="Y2:Y3"/>
    <mergeCell ref="Z2:AC2"/>
    <mergeCell ref="B4:C4"/>
    <mergeCell ref="B5:C5"/>
    <mergeCell ref="B6:C8"/>
    <mergeCell ref="D6:D8"/>
    <mergeCell ref="E6:E8"/>
    <mergeCell ref="F6:F8"/>
    <mergeCell ref="G6:G8"/>
    <mergeCell ref="H6:H8"/>
    <mergeCell ref="I6:I8"/>
    <mergeCell ref="J6:J8"/>
    <mergeCell ref="B9:C11"/>
    <mergeCell ref="D9:D11"/>
    <mergeCell ref="E9:E11"/>
    <mergeCell ref="F9:F11"/>
    <mergeCell ref="G9:G11"/>
    <mergeCell ref="H9:H11"/>
    <mergeCell ref="I9:I11"/>
    <mergeCell ref="J9:J11"/>
    <mergeCell ref="B12:C16"/>
    <mergeCell ref="D12:D16"/>
    <mergeCell ref="E12:E16"/>
    <mergeCell ref="F12:F16"/>
    <mergeCell ref="G12:G16"/>
    <mergeCell ref="H12:H16"/>
    <mergeCell ref="I12:I16"/>
    <mergeCell ref="J12:J16"/>
    <mergeCell ref="B17:C19"/>
    <mergeCell ref="D17:D19"/>
    <mergeCell ref="E17:E19"/>
    <mergeCell ref="F17:F19"/>
    <mergeCell ref="G17:G19"/>
    <mergeCell ref="H17:H19"/>
    <mergeCell ref="I17:I19"/>
    <mergeCell ref="J17:J19"/>
    <mergeCell ref="B20:C22"/>
    <mergeCell ref="D20:D22"/>
    <mergeCell ref="E20:E22"/>
    <mergeCell ref="F20:F22"/>
    <mergeCell ref="G20:G22"/>
    <mergeCell ref="H20:H22"/>
    <mergeCell ref="I20:I22"/>
    <mergeCell ref="J20:J22"/>
    <mergeCell ref="B23:C26"/>
    <mergeCell ref="D23:D26"/>
    <mergeCell ref="E23:E26"/>
    <mergeCell ref="F23:F26"/>
    <mergeCell ref="G23:G26"/>
    <mergeCell ref="H23:H26"/>
    <mergeCell ref="I23:I26"/>
    <mergeCell ref="J23:J26"/>
    <mergeCell ref="B27:C30"/>
    <mergeCell ref="D27:D30"/>
    <mergeCell ref="E27:E30"/>
    <mergeCell ref="F27:F30"/>
    <mergeCell ref="G27:G30"/>
    <mergeCell ref="H27:H30"/>
    <mergeCell ref="I27:I30"/>
    <mergeCell ref="J27:J30"/>
    <mergeCell ref="AD27:AD30"/>
    <mergeCell ref="B31:C32"/>
    <mergeCell ref="D31:D32"/>
    <mergeCell ref="E31:E32"/>
    <mergeCell ref="F31:F32"/>
    <mergeCell ref="G31:G32"/>
    <mergeCell ref="H31:H32"/>
    <mergeCell ref="I31:I32"/>
    <mergeCell ref="J31:J32"/>
    <mergeCell ref="B33:C34"/>
    <mergeCell ref="D33:D34"/>
    <mergeCell ref="E33:E34"/>
    <mergeCell ref="F33:F34"/>
    <mergeCell ref="G33:G34"/>
    <mergeCell ref="H33:H34"/>
    <mergeCell ref="I33:I34"/>
    <mergeCell ref="J33:J34"/>
    <mergeCell ref="B35:C37"/>
    <mergeCell ref="D35:D37"/>
    <mergeCell ref="E35:E37"/>
    <mergeCell ref="F35:F37"/>
    <mergeCell ref="G35:G37"/>
    <mergeCell ref="H35:H37"/>
    <mergeCell ref="I35:I37"/>
    <mergeCell ref="J35:J37"/>
    <mergeCell ref="B38:C40"/>
    <mergeCell ref="D38:D40"/>
    <mergeCell ref="E38:E40"/>
    <mergeCell ref="F38:F40"/>
    <mergeCell ref="G38:G40"/>
    <mergeCell ref="H38:H40"/>
    <mergeCell ref="I38:I40"/>
    <mergeCell ref="J38:J40"/>
    <mergeCell ref="B41:C44"/>
    <mergeCell ref="D41:D44"/>
    <mergeCell ref="E41:E44"/>
    <mergeCell ref="F41:F44"/>
    <mergeCell ref="G41:G44"/>
    <mergeCell ref="H41:H44"/>
    <mergeCell ref="I41:I44"/>
    <mergeCell ref="J41:J44"/>
    <mergeCell ref="B45:C49"/>
    <mergeCell ref="D45:D49"/>
    <mergeCell ref="E45:E49"/>
    <mergeCell ref="F45:F49"/>
    <mergeCell ref="G45:G49"/>
    <mergeCell ref="H45:H49"/>
    <mergeCell ref="I45:I49"/>
    <mergeCell ref="J45:J49"/>
    <mergeCell ref="B50:C53"/>
    <mergeCell ref="D50:D53"/>
    <mergeCell ref="E50:E53"/>
    <mergeCell ref="F50:F53"/>
    <mergeCell ref="G50:G53"/>
    <mergeCell ref="H50:H53"/>
    <mergeCell ref="I50:I53"/>
    <mergeCell ref="J50:J53"/>
    <mergeCell ref="B54:C55"/>
    <mergeCell ref="D54:D55"/>
    <mergeCell ref="E54:E55"/>
    <mergeCell ref="F54:F55"/>
    <mergeCell ref="G54:G55"/>
    <mergeCell ref="H54:H55"/>
    <mergeCell ref="I54:I55"/>
    <mergeCell ref="J54:J55"/>
    <mergeCell ref="B56:C57"/>
    <mergeCell ref="D56:D57"/>
    <mergeCell ref="E56:E57"/>
    <mergeCell ref="F56:F57"/>
    <mergeCell ref="G56:G57"/>
    <mergeCell ref="H56:H57"/>
    <mergeCell ref="I56:I57"/>
    <mergeCell ref="J56:J57"/>
    <mergeCell ref="B58:C61"/>
    <mergeCell ref="D58:D61"/>
    <mergeCell ref="E58:E61"/>
    <mergeCell ref="F58:F61"/>
    <mergeCell ref="G58:G61"/>
    <mergeCell ref="H58:H61"/>
    <mergeCell ref="I58:I61"/>
    <mergeCell ref="J58:J61"/>
    <mergeCell ref="B62:C64"/>
    <mergeCell ref="D62:D64"/>
    <mergeCell ref="E62:E64"/>
    <mergeCell ref="F62:F64"/>
    <mergeCell ref="G62:G64"/>
    <mergeCell ref="H62:H64"/>
    <mergeCell ref="I62:I64"/>
    <mergeCell ref="J62:J64"/>
    <mergeCell ref="B65:C68"/>
    <mergeCell ref="D65:D68"/>
    <mergeCell ref="E65:E68"/>
    <mergeCell ref="F65:F68"/>
    <mergeCell ref="G65:G68"/>
    <mergeCell ref="H65:H68"/>
    <mergeCell ref="I65:I68"/>
    <mergeCell ref="J65:J68"/>
    <mergeCell ref="J73:J76"/>
    <mergeCell ref="B69:C72"/>
    <mergeCell ref="D69:D72"/>
    <mergeCell ref="E69:E72"/>
    <mergeCell ref="F69:F72"/>
    <mergeCell ref="G69:G72"/>
    <mergeCell ref="H69:H72"/>
    <mergeCell ref="H77:H83"/>
    <mergeCell ref="I69:I72"/>
    <mergeCell ref="J69:J72"/>
    <mergeCell ref="B73:C76"/>
    <mergeCell ref="D73:D76"/>
    <mergeCell ref="E73:E76"/>
    <mergeCell ref="F73:F76"/>
    <mergeCell ref="G73:G76"/>
    <mergeCell ref="H73:H76"/>
    <mergeCell ref="I73:I76"/>
    <mergeCell ref="I77:I83"/>
    <mergeCell ref="J77:J83"/>
    <mergeCell ref="B84:C84"/>
    <mergeCell ref="B85:C85"/>
    <mergeCell ref="B87:L87"/>
    <mergeCell ref="B77:C83"/>
    <mergeCell ref="D77:D83"/>
    <mergeCell ref="E77:E83"/>
    <mergeCell ref="F77:F83"/>
    <mergeCell ref="G77:G83"/>
  </mergeCells>
  <printOptions/>
  <pageMargins left="0.4724409448818898" right="0.1968503937007874" top="0.15748031496062992" bottom="0.31496062992125984" header="0.2755905511811024" footer="0.31496062992125984"/>
  <pageSetup horizontalDpi="600" verticalDpi="600" orientation="landscape" paperSize="8" scale="57"/>
  <headerFooter alignWithMargins="0">
    <oddFooter>&amp;C&amp;D&amp;R&amp;"Calibri,Gras"&amp;12DOTATIONS MATERIELS CLUBS 2013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D88"/>
  <sheetViews>
    <sheetView showGridLines="0" zoomScalePageLayoutView="0" workbookViewId="0" topLeftCell="A1">
      <pane ySplit="5" topLeftCell="A64" activePane="bottomLeft" state="frozen"/>
      <selection pane="topLeft" activeCell="K1" sqref="K1"/>
      <selection pane="bottomLeft" activeCell="A89" sqref="A89:IV89"/>
    </sheetView>
  </sheetViews>
  <sheetFormatPr defaultColWidth="11.421875" defaultRowHeight="12.75"/>
  <cols>
    <col min="1" max="1" width="2.421875" style="0" customWidth="1"/>
    <col min="2" max="2" width="12.7109375" style="0" customWidth="1"/>
    <col min="3" max="3" width="10.00390625" style="0" customWidth="1"/>
    <col min="4" max="4" width="9.28125" style="188" customWidth="1"/>
    <col min="5" max="5" width="10.421875" style="188" bestFit="1" customWidth="1"/>
    <col min="6" max="6" width="7.8515625" style="188" bestFit="1" customWidth="1"/>
    <col min="7" max="7" width="11.8515625" style="418" bestFit="1" customWidth="1"/>
    <col min="8" max="8" width="11.00390625" style="188" bestFit="1" customWidth="1"/>
    <col min="9" max="9" width="10.28125" style="418" bestFit="1" customWidth="1"/>
    <col min="10" max="10" width="9.00390625" style="418" bestFit="1" customWidth="1"/>
    <col min="11" max="11" width="16.140625" style="10" bestFit="1" customWidth="1"/>
    <col min="12" max="12" width="11.140625" style="10" bestFit="1" customWidth="1"/>
    <col min="13" max="13" width="11.00390625" style="10" bestFit="1" customWidth="1"/>
    <col min="14" max="14" width="15.8515625" style="10" customWidth="1"/>
    <col min="15" max="15" width="15.7109375" style="10" bestFit="1" customWidth="1"/>
    <col min="16" max="16" width="12.421875" style="10" bestFit="1" customWidth="1"/>
    <col min="17" max="17" width="12.421875" style="10" customWidth="1"/>
    <col min="18" max="18" width="11.140625" style="10" bestFit="1" customWidth="1"/>
    <col min="19" max="19" width="11.140625" style="10" customWidth="1"/>
    <col min="20" max="20" width="13.7109375" style="10" bestFit="1" customWidth="1"/>
    <col min="21" max="21" width="11.28125" style="10" customWidth="1"/>
    <col min="22" max="22" width="10.8515625" style="10" customWidth="1"/>
    <col min="23" max="23" width="9.421875" style="10" bestFit="1" customWidth="1"/>
    <col min="24" max="24" width="10.28125" style="10" bestFit="1" customWidth="1"/>
    <col min="25" max="25" width="11.140625" style="192" bestFit="1" customWidth="1"/>
    <col min="26" max="26" width="8.00390625" style="10" bestFit="1" customWidth="1"/>
    <col min="27" max="27" width="8.00390625" style="10" customWidth="1"/>
    <col min="28" max="28" width="14.421875" style="10" bestFit="1" customWidth="1"/>
  </cols>
  <sheetData>
    <row r="1" spans="2:10" ht="16.5" thickBot="1">
      <c r="B1" s="5"/>
      <c r="C1" s="5"/>
      <c r="D1" s="184"/>
      <c r="E1" s="184"/>
      <c r="F1" s="184"/>
      <c r="G1" s="286"/>
      <c r="H1" s="184"/>
      <c r="I1" s="286"/>
      <c r="J1" s="419"/>
    </row>
    <row r="2" spans="1:28" ht="29.25" customHeight="1" thickBot="1">
      <c r="A2" s="5"/>
      <c r="B2" s="1520" t="s">
        <v>21</v>
      </c>
      <c r="C2" s="1521"/>
      <c r="D2" s="1524" t="s">
        <v>188</v>
      </c>
      <c r="E2" s="1512" t="s">
        <v>120</v>
      </c>
      <c r="F2" s="1527" t="s">
        <v>121</v>
      </c>
      <c r="G2" s="1512" t="s">
        <v>122</v>
      </c>
      <c r="H2" s="1524" t="s">
        <v>123</v>
      </c>
      <c r="I2" s="1512" t="s">
        <v>124</v>
      </c>
      <c r="J2" s="1514" t="s">
        <v>163</v>
      </c>
      <c r="K2" s="1516" t="s">
        <v>0</v>
      </c>
      <c r="L2" s="1517"/>
      <c r="M2" s="1517"/>
      <c r="N2" s="1517"/>
      <c r="O2" s="1517"/>
      <c r="P2" s="1442" t="s">
        <v>125</v>
      </c>
      <c r="Q2" s="1518"/>
      <c r="R2" s="1500" t="s">
        <v>1</v>
      </c>
      <c r="S2" s="1500"/>
      <c r="T2" s="1519"/>
      <c r="U2" s="1531" t="s">
        <v>2</v>
      </c>
      <c r="V2" s="1502"/>
      <c r="W2" s="1498" t="s">
        <v>126</v>
      </c>
      <c r="X2" s="1500" t="s">
        <v>3</v>
      </c>
      <c r="Y2" s="1501"/>
      <c r="Z2" s="1501"/>
      <c r="AA2" s="1519"/>
      <c r="AB2" s="1502"/>
    </row>
    <row r="3" spans="1:30" ht="66.75" customHeight="1" thickBot="1">
      <c r="A3" s="193"/>
      <c r="B3" s="1522"/>
      <c r="C3" s="1523"/>
      <c r="D3" s="1525"/>
      <c r="E3" s="1526"/>
      <c r="F3" s="1528"/>
      <c r="G3" s="1526"/>
      <c r="H3" s="1525"/>
      <c r="I3" s="1513"/>
      <c r="J3" s="1515"/>
      <c r="K3" s="452" t="s">
        <v>4</v>
      </c>
      <c r="L3" s="453" t="s">
        <v>127</v>
      </c>
      <c r="M3" s="453" t="s">
        <v>189</v>
      </c>
      <c r="N3" s="453" t="s">
        <v>175</v>
      </c>
      <c r="O3" s="579" t="s">
        <v>190</v>
      </c>
      <c r="P3" s="534" t="s">
        <v>176</v>
      </c>
      <c r="Q3" s="456" t="s">
        <v>177</v>
      </c>
      <c r="R3" s="457" t="s">
        <v>11</v>
      </c>
      <c r="S3" s="459" t="s">
        <v>13</v>
      </c>
      <c r="T3" s="459" t="s">
        <v>178</v>
      </c>
      <c r="U3" s="452" t="s">
        <v>14</v>
      </c>
      <c r="V3" s="458" t="s">
        <v>15</v>
      </c>
      <c r="W3" s="1499"/>
      <c r="X3" s="457" t="s">
        <v>17</v>
      </c>
      <c r="Y3" s="460" t="s">
        <v>18</v>
      </c>
      <c r="Z3" s="453" t="s">
        <v>19</v>
      </c>
      <c r="AA3" s="454" t="s">
        <v>191</v>
      </c>
      <c r="AB3" s="461" t="s">
        <v>20</v>
      </c>
      <c r="AC3" s="3"/>
      <c r="AD3" s="3"/>
    </row>
    <row r="4" spans="1:30" s="472" customFormat="1" ht="31.5" customHeight="1" thickBot="1">
      <c r="A4" s="241"/>
      <c r="B4" s="1503" t="s">
        <v>129</v>
      </c>
      <c r="C4" s="1504"/>
      <c r="D4" s="462"/>
      <c r="E4" s="463"/>
      <c r="F4" s="464"/>
      <c r="G4" s="465"/>
      <c r="H4" s="462"/>
      <c r="I4" s="465"/>
      <c r="J4" s="466"/>
      <c r="K4" s="457" t="s">
        <v>192</v>
      </c>
      <c r="L4" s="453" t="s">
        <v>193</v>
      </c>
      <c r="M4" s="453" t="s">
        <v>194</v>
      </c>
      <c r="N4" s="453" t="s">
        <v>195</v>
      </c>
      <c r="O4" s="454" t="s">
        <v>196</v>
      </c>
      <c r="P4" s="462" t="s">
        <v>54</v>
      </c>
      <c r="Q4" s="458" t="s">
        <v>54</v>
      </c>
      <c r="R4" s="467" t="s">
        <v>54</v>
      </c>
      <c r="S4" s="467" t="s">
        <v>168</v>
      </c>
      <c r="T4" s="580" t="s">
        <v>135</v>
      </c>
      <c r="U4" s="581" t="s">
        <v>136</v>
      </c>
      <c r="V4" s="458" t="s">
        <v>54</v>
      </c>
      <c r="W4" s="469" t="s">
        <v>136</v>
      </c>
      <c r="X4" s="467" t="s">
        <v>134</v>
      </c>
      <c r="Y4" s="470" t="s">
        <v>197</v>
      </c>
      <c r="Z4" s="471" t="s">
        <v>134</v>
      </c>
      <c r="AA4" s="459" t="s">
        <v>134</v>
      </c>
      <c r="AB4" s="458" t="s">
        <v>134</v>
      </c>
      <c r="AC4" s="3"/>
      <c r="AD4" s="3"/>
    </row>
    <row r="5" spans="1:30" ht="33.75" customHeight="1" thickBot="1">
      <c r="A5" s="193"/>
      <c r="B5" s="1505" t="s">
        <v>138</v>
      </c>
      <c r="C5" s="1506"/>
      <c r="D5" s="594"/>
      <c r="E5" s="595"/>
      <c r="F5" s="594"/>
      <c r="G5" s="596"/>
      <c r="H5" s="597"/>
      <c r="I5" s="598"/>
      <c r="J5" s="596"/>
      <c r="K5" s="599">
        <v>342.8</v>
      </c>
      <c r="L5" s="600">
        <v>237.39</v>
      </c>
      <c r="M5" s="600">
        <v>175.64</v>
      </c>
      <c r="N5" s="600">
        <v>278.99</v>
      </c>
      <c r="O5" s="601">
        <v>264.48</v>
      </c>
      <c r="P5" s="602">
        <v>859.15</v>
      </c>
      <c r="Q5" s="603">
        <v>893</v>
      </c>
      <c r="R5" s="604">
        <v>104.9</v>
      </c>
      <c r="S5" s="605">
        <v>140.28</v>
      </c>
      <c r="T5" s="606">
        <v>356.1</v>
      </c>
      <c r="U5" s="607">
        <v>113.25</v>
      </c>
      <c r="V5" s="603">
        <v>155.26</v>
      </c>
      <c r="W5" s="608">
        <v>22.95</v>
      </c>
      <c r="X5" s="599">
        <v>300</v>
      </c>
      <c r="Y5" s="600">
        <v>166.84</v>
      </c>
      <c r="Z5" s="600">
        <v>300</v>
      </c>
      <c r="AA5" s="601">
        <v>13</v>
      </c>
      <c r="AB5" s="603">
        <v>300</v>
      </c>
      <c r="AC5" s="3"/>
      <c r="AD5" s="3"/>
    </row>
    <row r="6" spans="2:28" s="5" customFormat="1" ht="15" customHeight="1" hidden="1" thickBot="1">
      <c r="B6" s="1477" t="s">
        <v>139</v>
      </c>
      <c r="C6" s="1478"/>
      <c r="D6" s="1509">
        <v>15</v>
      </c>
      <c r="E6" s="1464">
        <f>D6/$D$86</f>
        <v>0.018518518518518517</v>
      </c>
      <c r="F6" s="1461">
        <v>5</v>
      </c>
      <c r="G6" s="1464">
        <f>F6/D6</f>
        <v>0.3333333333333333</v>
      </c>
      <c r="H6" s="1467">
        <f>(2*K5)+(2*AB5)+(1*P5)</f>
        <v>2144.75</v>
      </c>
      <c r="I6" s="1446">
        <f>H6/H86</f>
        <v>0.040208591618502904</v>
      </c>
      <c r="J6" s="1470">
        <f>H6/D6</f>
        <v>142.98333333333332</v>
      </c>
      <c r="K6" s="484">
        <v>594</v>
      </c>
      <c r="L6" s="485"/>
      <c r="M6" s="486"/>
      <c r="N6" s="486"/>
      <c r="O6" s="487"/>
      <c r="P6" s="488">
        <v>11</v>
      </c>
      <c r="Q6" s="489"/>
      <c r="R6" s="484"/>
      <c r="S6" s="484"/>
      <c r="T6" s="582"/>
      <c r="U6" s="506"/>
      <c r="V6" s="489"/>
      <c r="W6" s="490"/>
      <c r="X6" s="484"/>
      <c r="Y6" s="485"/>
      <c r="Z6" s="485"/>
      <c r="AA6" s="487"/>
      <c r="AB6" s="489">
        <v>188</v>
      </c>
    </row>
    <row r="7" spans="2:28" s="5" customFormat="1" ht="15" customHeight="1" hidden="1" thickBot="1">
      <c r="B7" s="1507"/>
      <c r="C7" s="1508"/>
      <c r="D7" s="1510"/>
      <c r="E7" s="1465"/>
      <c r="F7" s="1462"/>
      <c r="G7" s="1465"/>
      <c r="H7" s="1468"/>
      <c r="I7" s="1447"/>
      <c r="J7" s="1471"/>
      <c r="K7" s="491">
        <v>931</v>
      </c>
      <c r="L7" s="492"/>
      <c r="M7" s="493"/>
      <c r="N7" s="493"/>
      <c r="O7" s="494"/>
      <c r="P7" s="495"/>
      <c r="Q7" s="496"/>
      <c r="R7" s="491"/>
      <c r="S7" s="491"/>
      <c r="T7" s="583"/>
      <c r="U7" s="584"/>
      <c r="V7" s="496"/>
      <c r="W7" s="497"/>
      <c r="X7" s="491"/>
      <c r="Y7" s="492"/>
      <c r="Z7" s="492"/>
      <c r="AA7" s="494"/>
      <c r="AB7" s="496">
        <v>595</v>
      </c>
    </row>
    <row r="8" spans="2:28" s="1" customFormat="1" ht="15" customHeight="1" hidden="1" thickBot="1">
      <c r="B8" s="1479"/>
      <c r="C8" s="1480"/>
      <c r="D8" s="1511"/>
      <c r="E8" s="1466"/>
      <c r="F8" s="1463"/>
      <c r="G8" s="1466"/>
      <c r="H8" s="1469"/>
      <c r="I8" s="1448"/>
      <c r="J8" s="1472"/>
      <c r="K8" s="498"/>
      <c r="L8" s="499"/>
      <c r="M8" s="500"/>
      <c r="N8" s="500"/>
      <c r="O8" s="501"/>
      <c r="P8" s="502"/>
      <c r="Q8" s="503"/>
      <c r="R8" s="498"/>
      <c r="S8" s="498"/>
      <c r="T8" s="585"/>
      <c r="U8" s="538"/>
      <c r="V8" s="503"/>
      <c r="W8" s="504"/>
      <c r="X8" s="498"/>
      <c r="Y8" s="505"/>
      <c r="Z8" s="505"/>
      <c r="AA8" s="501"/>
      <c r="AB8" s="503"/>
    </row>
    <row r="9" spans="2:28" s="1" customFormat="1" ht="12.75">
      <c r="B9" s="1424" t="s">
        <v>140</v>
      </c>
      <c r="C9" s="1494"/>
      <c r="D9" s="1415">
        <v>35</v>
      </c>
      <c r="E9" s="1418">
        <f>D9/$D$86</f>
        <v>0.043209876543209874</v>
      </c>
      <c r="F9" s="1415">
        <v>5</v>
      </c>
      <c r="G9" s="1418">
        <f>F9/D9</f>
        <v>0.14285714285714285</v>
      </c>
      <c r="H9" s="1481">
        <f>(2*K5)+(3*M5)</f>
        <v>1212.52</v>
      </c>
      <c r="I9" s="1387">
        <f>H9/H86</f>
        <v>0.02273165707390938</v>
      </c>
      <c r="J9" s="1390">
        <f>H9/D9</f>
        <v>34.64342857142857</v>
      </c>
      <c r="K9" s="506">
        <v>214</v>
      </c>
      <c r="L9" s="507"/>
      <c r="M9" s="486">
        <v>393</v>
      </c>
      <c r="N9" s="486"/>
      <c r="O9" s="487"/>
      <c r="P9" s="488"/>
      <c r="Q9" s="489"/>
      <c r="R9" s="484"/>
      <c r="S9" s="484"/>
      <c r="T9" s="582"/>
      <c r="U9" s="506"/>
      <c r="V9" s="489"/>
      <c r="W9" s="490"/>
      <c r="X9" s="484"/>
      <c r="Y9" s="485"/>
      <c r="Z9" s="485"/>
      <c r="AA9" s="487"/>
      <c r="AB9" s="489"/>
    </row>
    <row r="10" spans="2:28" s="1" customFormat="1" ht="12.75">
      <c r="B10" s="1432"/>
      <c r="C10" s="1495"/>
      <c r="D10" s="1416"/>
      <c r="E10" s="1419"/>
      <c r="F10" s="1416"/>
      <c r="G10" s="1419"/>
      <c r="H10" s="1497"/>
      <c r="I10" s="1388"/>
      <c r="J10" s="1391"/>
      <c r="K10" s="508">
        <v>316</v>
      </c>
      <c r="L10" s="509"/>
      <c r="M10" s="510">
        <v>452</v>
      </c>
      <c r="N10" s="510"/>
      <c r="O10" s="511"/>
      <c r="P10" s="512"/>
      <c r="Q10" s="513"/>
      <c r="R10" s="514"/>
      <c r="S10" s="514"/>
      <c r="T10" s="530"/>
      <c r="U10" s="508"/>
      <c r="V10" s="513"/>
      <c r="W10" s="515"/>
      <c r="X10" s="514"/>
      <c r="Y10" s="516"/>
      <c r="Z10" s="516"/>
      <c r="AA10" s="511"/>
      <c r="AB10" s="513"/>
    </row>
    <row r="11" spans="2:28" s="1" customFormat="1" ht="13.5" thickBot="1">
      <c r="B11" s="1436"/>
      <c r="C11" s="1496"/>
      <c r="D11" s="1417"/>
      <c r="E11" s="1420"/>
      <c r="F11" s="1417"/>
      <c r="G11" s="1420"/>
      <c r="H11" s="1482"/>
      <c r="I11" s="1389"/>
      <c r="J11" s="1392"/>
      <c r="K11" s="517"/>
      <c r="L11" s="518"/>
      <c r="M11" s="518">
        <v>853</v>
      </c>
      <c r="N11" s="518"/>
      <c r="O11" s="519"/>
      <c r="P11" s="520"/>
      <c r="Q11" s="521"/>
      <c r="R11" s="517"/>
      <c r="S11" s="517"/>
      <c r="T11" s="519"/>
      <c r="U11" s="536"/>
      <c r="V11" s="521"/>
      <c r="W11" s="522"/>
      <c r="X11" s="517"/>
      <c r="Y11" s="518"/>
      <c r="Z11" s="518"/>
      <c r="AA11" s="519"/>
      <c r="AB11" s="521"/>
    </row>
    <row r="12" spans="1:28" s="6" customFormat="1" ht="12.75">
      <c r="A12" s="1"/>
      <c r="B12" s="1432" t="s">
        <v>141</v>
      </c>
      <c r="C12" s="1433"/>
      <c r="D12" s="1434">
        <v>60</v>
      </c>
      <c r="E12" s="1419">
        <f>D12/$D$86</f>
        <v>0.07407407407407407</v>
      </c>
      <c r="F12" s="1415">
        <v>20</v>
      </c>
      <c r="G12" s="1418">
        <f>F12/D12</f>
        <v>0.3333333333333333</v>
      </c>
      <c r="H12" s="1481">
        <f>(2*K5)+(1*L5)+(5*N5)+(2*R5)+(3*S5)+(1*T5)+(1*W5)+(4*Y5)+(1*AB5)</f>
        <v>4294.99</v>
      </c>
      <c r="I12" s="1387">
        <f>H12/H86</f>
        <v>0.08052010673297763</v>
      </c>
      <c r="J12" s="1390">
        <f>H12/D12</f>
        <v>71.58316666666666</v>
      </c>
      <c r="K12" s="523">
        <v>907</v>
      </c>
      <c r="L12" s="524">
        <v>51</v>
      </c>
      <c r="M12" s="524"/>
      <c r="N12" s="524">
        <v>146</v>
      </c>
      <c r="O12" s="525"/>
      <c r="P12" s="526"/>
      <c r="Q12" s="527"/>
      <c r="R12" s="523">
        <v>96</v>
      </c>
      <c r="S12" s="523">
        <v>73</v>
      </c>
      <c r="T12" s="525">
        <v>255</v>
      </c>
      <c r="U12" s="551"/>
      <c r="V12" s="527"/>
      <c r="W12" s="528">
        <v>149</v>
      </c>
      <c r="X12" s="523"/>
      <c r="Y12" s="524">
        <v>583</v>
      </c>
      <c r="Z12" s="524"/>
      <c r="AA12" s="525"/>
      <c r="AB12" s="527">
        <v>580</v>
      </c>
    </row>
    <row r="13" spans="1:28" s="6" customFormat="1" ht="12.75">
      <c r="A13" s="1"/>
      <c r="B13" s="1432"/>
      <c r="C13" s="1433"/>
      <c r="D13" s="1434"/>
      <c r="E13" s="1419"/>
      <c r="F13" s="1416"/>
      <c r="G13" s="1419"/>
      <c r="H13" s="1529"/>
      <c r="I13" s="1388"/>
      <c r="J13" s="1391"/>
      <c r="K13" s="514">
        <v>155</v>
      </c>
      <c r="L13" s="510"/>
      <c r="M13" s="510"/>
      <c r="N13" s="510">
        <v>2</v>
      </c>
      <c r="O13" s="511"/>
      <c r="P13" s="512"/>
      <c r="Q13" s="513"/>
      <c r="R13" s="514">
        <v>654</v>
      </c>
      <c r="S13" s="514">
        <v>618</v>
      </c>
      <c r="T13" s="530"/>
      <c r="U13" s="586"/>
      <c r="V13" s="587"/>
      <c r="W13" s="515"/>
      <c r="X13" s="514"/>
      <c r="Y13" s="510">
        <v>261</v>
      </c>
      <c r="Z13" s="510"/>
      <c r="AA13" s="530"/>
      <c r="AB13" s="513"/>
    </row>
    <row r="14" spans="1:28" s="6" customFormat="1" ht="12.75">
      <c r="A14" s="1"/>
      <c r="B14" s="1432"/>
      <c r="C14" s="1433"/>
      <c r="D14" s="1434"/>
      <c r="E14" s="1419"/>
      <c r="F14" s="1416"/>
      <c r="G14" s="1419"/>
      <c r="H14" s="1529"/>
      <c r="I14" s="1388"/>
      <c r="J14" s="1391"/>
      <c r="K14" s="514"/>
      <c r="L14" s="510"/>
      <c r="M14" s="510"/>
      <c r="N14" s="510">
        <v>773</v>
      </c>
      <c r="O14" s="511"/>
      <c r="P14" s="512"/>
      <c r="Q14" s="513"/>
      <c r="R14" s="514"/>
      <c r="S14" s="514">
        <v>618</v>
      </c>
      <c r="T14" s="530"/>
      <c r="U14" s="586"/>
      <c r="V14" s="587"/>
      <c r="W14" s="515"/>
      <c r="X14" s="514"/>
      <c r="Y14" s="510">
        <v>61</v>
      </c>
      <c r="Z14" s="510"/>
      <c r="AA14" s="530"/>
      <c r="AB14" s="513"/>
    </row>
    <row r="15" spans="1:28" s="6" customFormat="1" ht="12.75">
      <c r="A15" s="1"/>
      <c r="B15" s="1432"/>
      <c r="C15" s="1433"/>
      <c r="D15" s="1434"/>
      <c r="E15" s="1419"/>
      <c r="F15" s="1416"/>
      <c r="G15" s="1419"/>
      <c r="H15" s="1529"/>
      <c r="I15" s="1388"/>
      <c r="J15" s="1391"/>
      <c r="K15" s="514"/>
      <c r="L15" s="510"/>
      <c r="M15" s="510"/>
      <c r="N15" s="510">
        <v>128</v>
      </c>
      <c r="O15" s="511"/>
      <c r="P15" s="512"/>
      <c r="Q15" s="513"/>
      <c r="R15" s="514"/>
      <c r="S15" s="514"/>
      <c r="T15" s="530"/>
      <c r="U15" s="586"/>
      <c r="V15" s="587"/>
      <c r="W15" s="515"/>
      <c r="X15" s="514"/>
      <c r="Y15" s="510">
        <v>819</v>
      </c>
      <c r="Z15" s="510"/>
      <c r="AA15" s="530"/>
      <c r="AB15" s="513"/>
    </row>
    <row r="16" spans="1:28" s="6" customFormat="1" ht="13.5" thickBot="1">
      <c r="A16" s="1"/>
      <c r="B16" s="1432"/>
      <c r="C16" s="1433"/>
      <c r="D16" s="1434"/>
      <c r="E16" s="1419"/>
      <c r="F16" s="1416"/>
      <c r="G16" s="1419"/>
      <c r="H16" s="1530"/>
      <c r="I16" s="1388"/>
      <c r="J16" s="1391"/>
      <c r="K16" s="514"/>
      <c r="L16" s="510"/>
      <c r="M16" s="510"/>
      <c r="N16" s="510">
        <v>758</v>
      </c>
      <c r="O16" s="511"/>
      <c r="P16" s="512"/>
      <c r="Q16" s="513"/>
      <c r="R16" s="514"/>
      <c r="S16" s="514"/>
      <c r="T16" s="530"/>
      <c r="U16" s="586"/>
      <c r="V16" s="587"/>
      <c r="W16" s="515"/>
      <c r="X16" s="514"/>
      <c r="Y16" s="510"/>
      <c r="Z16" s="510"/>
      <c r="AA16" s="530"/>
      <c r="AB16" s="513"/>
    </row>
    <row r="17" spans="1:28" s="6" customFormat="1" ht="14.25" customHeight="1">
      <c r="A17" s="1"/>
      <c r="B17" s="1424" t="s">
        <v>142</v>
      </c>
      <c r="C17" s="1435"/>
      <c r="D17" s="1415">
        <v>17</v>
      </c>
      <c r="E17" s="1485">
        <f>D17/$D$86</f>
        <v>0.020987654320987655</v>
      </c>
      <c r="F17" s="1438">
        <v>5</v>
      </c>
      <c r="G17" s="1418">
        <f>F17/D17</f>
        <v>0.29411764705882354</v>
      </c>
      <c r="H17" s="1488">
        <f>(3*N5)+(1*P5)+(1*AB5)</f>
        <v>1996.12</v>
      </c>
      <c r="I17" s="1491">
        <f>H17/H86</f>
        <v>0.03742215824759343</v>
      </c>
      <c r="J17" s="1390">
        <f>H17/D17</f>
        <v>117.41882352941175</v>
      </c>
      <c r="K17" s="488"/>
      <c r="L17" s="485"/>
      <c r="M17" s="485"/>
      <c r="N17" s="485">
        <v>1548</v>
      </c>
      <c r="O17" s="531"/>
      <c r="P17" s="488">
        <v>859</v>
      </c>
      <c r="Q17" s="489"/>
      <c r="R17" s="531"/>
      <c r="S17" s="485"/>
      <c r="T17" s="487"/>
      <c r="U17" s="506"/>
      <c r="V17" s="588"/>
      <c r="W17" s="490"/>
      <c r="X17" s="531"/>
      <c r="Y17" s="485"/>
      <c r="Z17" s="487"/>
      <c r="AA17" s="485"/>
      <c r="AB17" s="489">
        <v>647</v>
      </c>
    </row>
    <row r="18" spans="1:28" s="6" customFormat="1" ht="14.25" customHeight="1">
      <c r="A18" s="1"/>
      <c r="B18" s="1432"/>
      <c r="C18" s="1433"/>
      <c r="D18" s="1416"/>
      <c r="E18" s="1486"/>
      <c r="F18" s="1434"/>
      <c r="G18" s="1419"/>
      <c r="H18" s="1489"/>
      <c r="I18" s="1492"/>
      <c r="J18" s="1391"/>
      <c r="K18" s="512"/>
      <c r="L18" s="516"/>
      <c r="M18" s="516"/>
      <c r="N18" s="516">
        <v>1547</v>
      </c>
      <c r="O18" s="533"/>
      <c r="P18" s="512"/>
      <c r="Q18" s="513"/>
      <c r="R18" s="533"/>
      <c r="S18" s="516"/>
      <c r="T18" s="511"/>
      <c r="U18" s="508"/>
      <c r="V18" s="589"/>
      <c r="W18" s="515"/>
      <c r="X18" s="533"/>
      <c r="Y18" s="516"/>
      <c r="Z18" s="533"/>
      <c r="AA18" s="516"/>
      <c r="AB18" s="513"/>
    </row>
    <row r="19" spans="1:28" s="6" customFormat="1" ht="14.25" customHeight="1" thickBot="1">
      <c r="A19" s="1"/>
      <c r="B19" s="1436"/>
      <c r="C19" s="1437"/>
      <c r="D19" s="1417"/>
      <c r="E19" s="1487"/>
      <c r="F19" s="1439"/>
      <c r="G19" s="1420"/>
      <c r="H19" s="1490"/>
      <c r="I19" s="1493"/>
      <c r="J19" s="1392"/>
      <c r="K19" s="520"/>
      <c r="L19" s="518"/>
      <c r="M19" s="518"/>
      <c r="N19" s="518">
        <v>252</v>
      </c>
      <c r="O19" s="535"/>
      <c r="P19" s="520"/>
      <c r="Q19" s="521"/>
      <c r="R19" s="535"/>
      <c r="S19" s="518"/>
      <c r="T19" s="519"/>
      <c r="U19" s="536"/>
      <c r="V19" s="590"/>
      <c r="W19" s="522"/>
      <c r="X19" s="535"/>
      <c r="Y19" s="518"/>
      <c r="Z19" s="537"/>
      <c r="AA19" s="518"/>
      <c r="AB19" s="521"/>
    </row>
    <row r="20" spans="1:28" s="6" customFormat="1" ht="12.75">
      <c r="A20" s="1"/>
      <c r="B20" s="1432" t="s">
        <v>143</v>
      </c>
      <c r="C20" s="1433"/>
      <c r="D20" s="1434">
        <v>28</v>
      </c>
      <c r="E20" s="1419">
        <f>D20/$D$86</f>
        <v>0.0345679012345679</v>
      </c>
      <c r="F20" s="1416">
        <v>6</v>
      </c>
      <c r="G20" s="1419">
        <f>F20/D20</f>
        <v>0.21428571428571427</v>
      </c>
      <c r="H20" s="1422">
        <f>(1*L5)+(1*T5)+(1*W5)+(2*Y5)+(1*AB5)</f>
        <v>1250.1200000000001</v>
      </c>
      <c r="I20" s="1388">
        <f>H20/H86</f>
        <v>0.023436561162896774</v>
      </c>
      <c r="J20" s="1390">
        <f>H20/D20</f>
        <v>44.64714285714286</v>
      </c>
      <c r="K20" s="523"/>
      <c r="L20" s="524">
        <v>411</v>
      </c>
      <c r="M20" s="524"/>
      <c r="N20" s="524"/>
      <c r="O20" s="525"/>
      <c r="P20" s="526"/>
      <c r="Q20" s="527"/>
      <c r="R20" s="523"/>
      <c r="S20" s="523"/>
      <c r="T20" s="525">
        <v>131</v>
      </c>
      <c r="U20" s="551"/>
      <c r="V20" s="527"/>
      <c r="W20" s="528">
        <v>577</v>
      </c>
      <c r="X20" s="523"/>
      <c r="Y20" s="524">
        <v>125</v>
      </c>
      <c r="Z20" s="524"/>
      <c r="AA20" s="525"/>
      <c r="AB20" s="527">
        <v>366</v>
      </c>
    </row>
    <row r="21" spans="1:28" s="6" customFormat="1" ht="12.75">
      <c r="A21" s="1"/>
      <c r="B21" s="1432"/>
      <c r="C21" s="1433"/>
      <c r="D21" s="1434"/>
      <c r="E21" s="1419"/>
      <c r="F21" s="1416"/>
      <c r="G21" s="1419"/>
      <c r="H21" s="1422"/>
      <c r="I21" s="1388"/>
      <c r="J21" s="1391"/>
      <c r="K21" s="523"/>
      <c r="L21" s="524"/>
      <c r="M21" s="524"/>
      <c r="N21" s="524"/>
      <c r="O21" s="525"/>
      <c r="P21" s="526"/>
      <c r="Q21" s="527"/>
      <c r="R21" s="523"/>
      <c r="S21" s="523"/>
      <c r="T21" s="525"/>
      <c r="U21" s="551"/>
      <c r="V21" s="527"/>
      <c r="W21" s="528"/>
      <c r="X21" s="523"/>
      <c r="Y21" s="524">
        <v>416</v>
      </c>
      <c r="Z21" s="524"/>
      <c r="AA21" s="525"/>
      <c r="AB21" s="527"/>
    </row>
    <row r="22" spans="1:28" s="6" customFormat="1" ht="13.5" thickBot="1">
      <c r="A22" s="1"/>
      <c r="B22" s="1432"/>
      <c r="C22" s="1433"/>
      <c r="D22" s="1434"/>
      <c r="E22" s="1419"/>
      <c r="F22" s="1416"/>
      <c r="G22" s="1419"/>
      <c r="H22" s="1422"/>
      <c r="I22" s="1388"/>
      <c r="J22" s="1392"/>
      <c r="K22" s="538"/>
      <c r="L22" s="499"/>
      <c r="M22" s="505"/>
      <c r="N22" s="505"/>
      <c r="O22" s="501"/>
      <c r="P22" s="502"/>
      <c r="Q22" s="503"/>
      <c r="R22" s="498"/>
      <c r="S22" s="498"/>
      <c r="T22" s="501"/>
      <c r="U22" s="538"/>
      <c r="V22" s="503"/>
      <c r="W22" s="504"/>
      <c r="X22" s="498"/>
      <c r="Y22" s="505"/>
      <c r="Z22" s="505"/>
      <c r="AA22" s="501"/>
      <c r="AB22" s="503"/>
    </row>
    <row r="23" spans="2:28" s="1" customFormat="1" ht="12.75">
      <c r="B23" s="1424" t="s">
        <v>144</v>
      </c>
      <c r="C23" s="1435"/>
      <c r="D23" s="1438">
        <v>39</v>
      </c>
      <c r="E23" s="1418">
        <f>D23/$D$86</f>
        <v>0.04814814814814815</v>
      </c>
      <c r="F23" s="1461">
        <v>8</v>
      </c>
      <c r="G23" s="1418">
        <f>F23/D23</f>
        <v>0.20512820512820512</v>
      </c>
      <c r="H23" s="1421">
        <f>(1*K5)+(2*M5)+(2*N5)+(1*P5)+(1*X5)+(1*Y5)</f>
        <v>2578.05</v>
      </c>
      <c r="I23" s="1387">
        <f>H23/H86</f>
        <v>0.04833186134611559</v>
      </c>
      <c r="J23" s="1390">
        <f>H23/D23</f>
        <v>66.10384615384616</v>
      </c>
      <c r="K23" s="523">
        <v>152</v>
      </c>
      <c r="L23" s="524"/>
      <c r="M23" s="524">
        <v>561</v>
      </c>
      <c r="N23" s="524">
        <v>560</v>
      </c>
      <c r="O23" s="525"/>
      <c r="P23" s="526">
        <v>1523</v>
      </c>
      <c r="Q23" s="527"/>
      <c r="R23" s="523"/>
      <c r="S23" s="523"/>
      <c r="T23" s="525"/>
      <c r="U23" s="551"/>
      <c r="V23" s="527"/>
      <c r="W23" s="528"/>
      <c r="X23" s="523">
        <v>274</v>
      </c>
      <c r="Y23" s="524">
        <v>944</v>
      </c>
      <c r="Z23" s="524"/>
      <c r="AA23" s="525"/>
      <c r="AB23" s="527"/>
    </row>
    <row r="24" spans="2:28" s="1" customFormat="1" ht="12.75">
      <c r="B24" s="1432"/>
      <c r="C24" s="1433"/>
      <c r="D24" s="1434"/>
      <c r="E24" s="1419"/>
      <c r="F24" s="1462"/>
      <c r="G24" s="1419"/>
      <c r="H24" s="1422"/>
      <c r="I24" s="1388"/>
      <c r="J24" s="1391"/>
      <c r="K24" s="523"/>
      <c r="L24" s="524"/>
      <c r="M24" s="524">
        <v>432</v>
      </c>
      <c r="N24" s="524">
        <v>1524</v>
      </c>
      <c r="O24" s="525"/>
      <c r="P24" s="526"/>
      <c r="Q24" s="527"/>
      <c r="R24" s="523"/>
      <c r="S24" s="523"/>
      <c r="T24" s="525"/>
      <c r="U24" s="551"/>
      <c r="V24" s="527"/>
      <c r="W24" s="528"/>
      <c r="X24" s="523"/>
      <c r="Y24" s="524"/>
      <c r="Z24" s="524"/>
      <c r="AA24" s="525"/>
      <c r="AB24" s="527"/>
    </row>
    <row r="25" spans="2:28" s="1" customFormat="1" ht="12.75">
      <c r="B25" s="1432"/>
      <c r="C25" s="1433"/>
      <c r="D25" s="1434"/>
      <c r="E25" s="1419"/>
      <c r="F25" s="1462"/>
      <c r="G25" s="1419"/>
      <c r="H25" s="1422"/>
      <c r="I25" s="1388"/>
      <c r="J25" s="1391"/>
      <c r="K25" s="523"/>
      <c r="L25" s="524"/>
      <c r="M25" s="524"/>
      <c r="N25" s="524"/>
      <c r="O25" s="525"/>
      <c r="P25" s="526"/>
      <c r="Q25" s="527"/>
      <c r="R25" s="523"/>
      <c r="S25" s="523"/>
      <c r="T25" s="525"/>
      <c r="U25" s="551"/>
      <c r="V25" s="527"/>
      <c r="W25" s="528"/>
      <c r="X25" s="523"/>
      <c r="Y25" s="524"/>
      <c r="Z25" s="524"/>
      <c r="AA25" s="525"/>
      <c r="AB25" s="527"/>
    </row>
    <row r="26" spans="2:28" s="1" customFormat="1" ht="13.5" thickBot="1">
      <c r="B26" s="1432"/>
      <c r="C26" s="1433"/>
      <c r="D26" s="1434"/>
      <c r="E26" s="1419"/>
      <c r="F26" s="1463"/>
      <c r="G26" s="1419"/>
      <c r="H26" s="1422"/>
      <c r="I26" s="1388"/>
      <c r="J26" s="1392"/>
      <c r="K26" s="514"/>
      <c r="L26" s="516"/>
      <c r="M26" s="516"/>
      <c r="N26" s="516"/>
      <c r="O26" s="511"/>
      <c r="P26" s="512"/>
      <c r="Q26" s="513"/>
      <c r="R26" s="514"/>
      <c r="S26" s="514"/>
      <c r="T26" s="511"/>
      <c r="U26" s="508"/>
      <c r="V26" s="513"/>
      <c r="W26" s="515"/>
      <c r="X26" s="514"/>
      <c r="Y26" s="516"/>
      <c r="Z26" s="516"/>
      <c r="AA26" s="511"/>
      <c r="AB26" s="513"/>
    </row>
    <row r="27" spans="1:29" s="6" customFormat="1" ht="12.75">
      <c r="A27" s="1"/>
      <c r="B27" s="1483" t="s">
        <v>145</v>
      </c>
      <c r="C27" s="1424"/>
      <c r="D27" s="1438">
        <v>42</v>
      </c>
      <c r="E27" s="1418">
        <f>D27/$D$86</f>
        <v>0.05185185185185185</v>
      </c>
      <c r="F27" s="1415">
        <v>9</v>
      </c>
      <c r="G27" s="1418">
        <f>F27/D27</f>
        <v>0.21428571428571427</v>
      </c>
      <c r="H27" s="1421">
        <f>(3*K5)+(3*N5)+(1*T5)+(2*AB5)</f>
        <v>2821.4700000000003</v>
      </c>
      <c r="I27" s="1387">
        <f>H27/H86</f>
        <v>0.05289536542434195</v>
      </c>
      <c r="J27" s="1390">
        <f>H27/D27</f>
        <v>67.17785714285715</v>
      </c>
      <c r="K27" s="484">
        <v>34</v>
      </c>
      <c r="L27" s="485"/>
      <c r="M27" s="539"/>
      <c r="N27" s="539" t="s">
        <v>198</v>
      </c>
      <c r="O27" s="487"/>
      <c r="P27" s="488"/>
      <c r="Q27" s="489"/>
      <c r="R27" s="484"/>
      <c r="S27" s="484"/>
      <c r="T27" s="487">
        <v>675</v>
      </c>
      <c r="U27" s="506"/>
      <c r="V27" s="489"/>
      <c r="W27" s="490"/>
      <c r="X27" s="484"/>
      <c r="Y27" s="485"/>
      <c r="Z27" s="485"/>
      <c r="AA27" s="487"/>
      <c r="AB27" s="489">
        <v>71</v>
      </c>
      <c r="AC27" s="1311"/>
    </row>
    <row r="28" spans="2:29" s="1" customFormat="1" ht="12.75">
      <c r="B28" s="1484"/>
      <c r="C28" s="1432"/>
      <c r="D28" s="1434"/>
      <c r="E28" s="1419"/>
      <c r="F28" s="1416"/>
      <c r="G28" s="1419"/>
      <c r="H28" s="1422"/>
      <c r="I28" s="1388"/>
      <c r="J28" s="1391"/>
      <c r="K28" s="514">
        <v>776</v>
      </c>
      <c r="L28" s="516"/>
      <c r="M28" s="516"/>
      <c r="N28" s="516">
        <v>573</v>
      </c>
      <c r="O28" s="511"/>
      <c r="P28" s="512"/>
      <c r="Q28" s="513"/>
      <c r="R28" s="514"/>
      <c r="S28" s="514"/>
      <c r="T28" s="511"/>
      <c r="U28" s="508"/>
      <c r="V28" s="513"/>
      <c r="W28" s="515"/>
      <c r="X28" s="514"/>
      <c r="Y28" s="516"/>
      <c r="Z28" s="516"/>
      <c r="AA28" s="511"/>
      <c r="AB28" s="513">
        <v>774</v>
      </c>
      <c r="AC28" s="1311"/>
    </row>
    <row r="29" spans="2:29" s="1" customFormat="1" ht="12.75">
      <c r="B29" s="1484"/>
      <c r="C29" s="1432"/>
      <c r="D29" s="1434"/>
      <c r="E29" s="1419"/>
      <c r="F29" s="1416"/>
      <c r="G29" s="1419"/>
      <c r="H29" s="1422"/>
      <c r="I29" s="1388"/>
      <c r="J29" s="1391"/>
      <c r="K29" s="540">
        <v>436</v>
      </c>
      <c r="L29" s="541"/>
      <c r="M29" s="541"/>
      <c r="N29" s="541">
        <v>340</v>
      </c>
      <c r="O29" s="542"/>
      <c r="P29" s="543"/>
      <c r="Q29" s="544"/>
      <c r="R29" s="540"/>
      <c r="S29" s="540"/>
      <c r="T29" s="542"/>
      <c r="U29" s="552"/>
      <c r="V29" s="544"/>
      <c r="W29" s="545"/>
      <c r="X29" s="540"/>
      <c r="Y29" s="541"/>
      <c r="Z29" s="541"/>
      <c r="AA29" s="542"/>
      <c r="AB29" s="544"/>
      <c r="AC29" s="1311"/>
    </row>
    <row r="30" spans="2:29" s="1" customFormat="1" ht="13.5" thickBot="1">
      <c r="B30" s="1484"/>
      <c r="C30" s="1432"/>
      <c r="D30" s="1434"/>
      <c r="E30" s="1419"/>
      <c r="F30" s="1416"/>
      <c r="G30" s="1419"/>
      <c r="H30" s="1422"/>
      <c r="I30" s="1388"/>
      <c r="J30" s="1392"/>
      <c r="K30" s="546"/>
      <c r="L30" s="541"/>
      <c r="M30" s="541"/>
      <c r="N30" s="541"/>
      <c r="O30" s="542"/>
      <c r="P30" s="543"/>
      <c r="Q30" s="544"/>
      <c r="R30" s="540"/>
      <c r="S30" s="540"/>
      <c r="T30" s="542"/>
      <c r="U30" s="552"/>
      <c r="V30" s="544"/>
      <c r="W30" s="545"/>
      <c r="X30" s="540"/>
      <c r="Y30" s="541"/>
      <c r="Z30" s="541"/>
      <c r="AA30" s="542"/>
      <c r="AB30" s="544"/>
      <c r="AC30" s="1311"/>
    </row>
    <row r="31" spans="2:29" s="1" customFormat="1" ht="12.75">
      <c r="B31" s="1477" t="s">
        <v>146</v>
      </c>
      <c r="C31" s="1478"/>
      <c r="D31" s="1415">
        <v>21</v>
      </c>
      <c r="E31" s="1418">
        <f>D31/$D$86</f>
        <v>0.025925925925925925</v>
      </c>
      <c r="F31" s="1415">
        <v>5</v>
      </c>
      <c r="G31" s="1418">
        <f>F31/D31</f>
        <v>0.23809523809523808</v>
      </c>
      <c r="H31" s="1481">
        <f>(1*K5)+(1*M5)+(1*N5)+(2*W5)</f>
        <v>843.33</v>
      </c>
      <c r="I31" s="1387">
        <f>H31/H86</f>
        <v>0.01581028631291855</v>
      </c>
      <c r="J31" s="1390">
        <f>H31/D31</f>
        <v>40.15857142857143</v>
      </c>
      <c r="K31" s="547" t="s">
        <v>199</v>
      </c>
      <c r="L31" s="485"/>
      <c r="M31" s="485">
        <v>524</v>
      </c>
      <c r="N31" s="485">
        <v>510</v>
      </c>
      <c r="O31" s="487"/>
      <c r="P31" s="488"/>
      <c r="Q31" s="489"/>
      <c r="R31" s="484"/>
      <c r="S31" s="484"/>
      <c r="T31" s="487"/>
      <c r="U31" s="506"/>
      <c r="V31" s="489"/>
      <c r="W31" s="490">
        <v>356</v>
      </c>
      <c r="X31" s="484"/>
      <c r="Y31" s="485"/>
      <c r="Z31" s="485"/>
      <c r="AA31" s="487"/>
      <c r="AB31" s="489"/>
      <c r="AC31" s="385"/>
    </row>
    <row r="32" spans="2:28" s="1" customFormat="1" ht="13.5" thickBot="1">
      <c r="B32" s="1479"/>
      <c r="C32" s="1480"/>
      <c r="D32" s="1417"/>
      <c r="E32" s="1420"/>
      <c r="F32" s="1417"/>
      <c r="G32" s="1420"/>
      <c r="H32" s="1482"/>
      <c r="I32" s="1389"/>
      <c r="J32" s="1392"/>
      <c r="K32" s="523"/>
      <c r="L32" s="524"/>
      <c r="M32" s="524"/>
      <c r="N32" s="524"/>
      <c r="O32" s="525"/>
      <c r="P32" s="526"/>
      <c r="Q32" s="527"/>
      <c r="R32" s="523"/>
      <c r="S32" s="523"/>
      <c r="T32" s="525"/>
      <c r="U32" s="508"/>
      <c r="V32" s="527"/>
      <c r="W32" s="528">
        <v>600</v>
      </c>
      <c r="X32" s="523"/>
      <c r="Y32" s="524"/>
      <c r="Z32" s="524"/>
      <c r="AA32" s="525"/>
      <c r="AB32" s="527"/>
    </row>
    <row r="33" spans="1:28" s="6" customFormat="1" ht="13.5" customHeight="1">
      <c r="A33" s="1"/>
      <c r="B33" s="1424" t="s">
        <v>147</v>
      </c>
      <c r="C33" s="1435"/>
      <c r="D33" s="1438">
        <v>23</v>
      </c>
      <c r="E33" s="1418">
        <f>D33/$D$86</f>
        <v>0.028395061728395062</v>
      </c>
      <c r="F33" s="1415">
        <v>4</v>
      </c>
      <c r="G33" s="1418">
        <f>F33/D33</f>
        <v>0.17391304347826086</v>
      </c>
      <c r="H33" s="1421">
        <f>(1*K5)+(2*M5)+(1*W5)</f>
        <v>717.03</v>
      </c>
      <c r="I33" s="1387">
        <f>H33/H86</f>
        <v>0.013442483482091216</v>
      </c>
      <c r="J33" s="1390">
        <f>H33/D33</f>
        <v>31.175217391304347</v>
      </c>
      <c r="K33" s="484">
        <v>1531</v>
      </c>
      <c r="L33" s="485"/>
      <c r="M33" s="485">
        <v>191</v>
      </c>
      <c r="N33" s="485"/>
      <c r="O33" s="487"/>
      <c r="P33" s="488"/>
      <c r="Q33" s="489"/>
      <c r="R33" s="484"/>
      <c r="S33" s="484"/>
      <c r="T33" s="487"/>
      <c r="U33" s="506"/>
      <c r="V33" s="489"/>
      <c r="W33" s="490">
        <v>39</v>
      </c>
      <c r="X33" s="484"/>
      <c r="Y33" s="485"/>
      <c r="Z33" s="485"/>
      <c r="AA33" s="487"/>
      <c r="AB33" s="489"/>
    </row>
    <row r="34" spans="1:28" s="6" customFormat="1" ht="13.5" thickBot="1">
      <c r="A34" s="1"/>
      <c r="B34" s="1436"/>
      <c r="C34" s="1437"/>
      <c r="D34" s="1439"/>
      <c r="E34" s="1420"/>
      <c r="F34" s="1417"/>
      <c r="G34" s="1420"/>
      <c r="H34" s="1423"/>
      <c r="I34" s="1389"/>
      <c r="J34" s="1392"/>
      <c r="K34" s="498"/>
      <c r="L34" s="505"/>
      <c r="M34" s="505">
        <v>757</v>
      </c>
      <c r="N34" s="505"/>
      <c r="O34" s="501"/>
      <c r="P34" s="502"/>
      <c r="Q34" s="503"/>
      <c r="R34" s="498"/>
      <c r="S34" s="498"/>
      <c r="T34" s="501"/>
      <c r="U34" s="538"/>
      <c r="V34" s="503"/>
      <c r="W34" s="504"/>
      <c r="X34" s="498"/>
      <c r="Y34" s="505"/>
      <c r="Z34" s="505"/>
      <c r="AA34" s="501"/>
      <c r="AB34" s="503"/>
    </row>
    <row r="35" spans="2:28" s="1" customFormat="1" ht="13.5" customHeight="1">
      <c r="B35" s="1473" t="s">
        <v>148</v>
      </c>
      <c r="C35" s="1474"/>
      <c r="D35" s="1475">
        <v>34</v>
      </c>
      <c r="E35" s="1476">
        <f>D35/$D$86</f>
        <v>0.04197530864197531</v>
      </c>
      <c r="F35" s="1415">
        <v>8</v>
      </c>
      <c r="G35" s="1418">
        <f>F35/D35</f>
        <v>0.23529411764705882</v>
      </c>
      <c r="H35" s="1421">
        <f>(1*N5)+(4*O5)+(2*Q5)+(1*U5)</f>
        <v>3236.16</v>
      </c>
      <c r="I35" s="1387">
        <f>H35/H86</f>
        <v>0.06066974512280422</v>
      </c>
      <c r="J35" s="1390">
        <f>H35/D35</f>
        <v>95.18117647058823</v>
      </c>
      <c r="K35" s="484"/>
      <c r="L35" s="485"/>
      <c r="M35" s="485"/>
      <c r="N35" s="485">
        <v>253</v>
      </c>
      <c r="O35" s="487">
        <v>256</v>
      </c>
      <c r="P35" s="488"/>
      <c r="Q35" s="489">
        <v>559</v>
      </c>
      <c r="R35" s="484"/>
      <c r="S35" s="484"/>
      <c r="T35" s="487"/>
      <c r="U35" s="506">
        <v>993</v>
      </c>
      <c r="V35" s="489"/>
      <c r="W35" s="490"/>
      <c r="X35" s="484"/>
      <c r="Y35" s="485"/>
      <c r="Z35" s="485"/>
      <c r="AA35" s="487"/>
      <c r="AB35" s="489"/>
    </row>
    <row r="36" spans="2:28" s="1" customFormat="1" ht="12.75">
      <c r="B36" s="1399"/>
      <c r="C36" s="1400"/>
      <c r="D36" s="1407"/>
      <c r="E36" s="1411"/>
      <c r="F36" s="1416"/>
      <c r="G36" s="1419"/>
      <c r="H36" s="1422"/>
      <c r="I36" s="1388"/>
      <c r="J36" s="1391"/>
      <c r="K36" s="523"/>
      <c r="L36" s="524"/>
      <c r="M36" s="524"/>
      <c r="N36" s="524"/>
      <c r="O36" s="591">
        <v>761</v>
      </c>
      <c r="P36" s="526"/>
      <c r="Q36" s="527">
        <v>790</v>
      </c>
      <c r="R36" s="523"/>
      <c r="S36" s="523"/>
      <c r="T36" s="525"/>
      <c r="U36" s="551"/>
      <c r="V36" s="527"/>
      <c r="W36" s="528"/>
      <c r="X36" s="523"/>
      <c r="Y36" s="524"/>
      <c r="Z36" s="524"/>
      <c r="AA36" s="525"/>
      <c r="AB36" s="527"/>
    </row>
    <row r="37" spans="2:28" s="1" customFormat="1" ht="12.75">
      <c r="B37" s="1399"/>
      <c r="C37" s="1400"/>
      <c r="D37" s="1407"/>
      <c r="E37" s="1411"/>
      <c r="F37" s="1416"/>
      <c r="G37" s="1419"/>
      <c r="H37" s="1422"/>
      <c r="I37" s="1388"/>
      <c r="J37" s="1391"/>
      <c r="K37" s="523"/>
      <c r="L37" s="524"/>
      <c r="M37" s="524"/>
      <c r="N37" s="524"/>
      <c r="O37" s="525">
        <v>886</v>
      </c>
      <c r="P37" s="526"/>
      <c r="Q37" s="527"/>
      <c r="R37" s="523"/>
      <c r="S37" s="523"/>
      <c r="T37" s="525"/>
      <c r="U37" s="551"/>
      <c r="V37" s="527"/>
      <c r="W37" s="528"/>
      <c r="X37" s="523"/>
      <c r="Y37" s="524"/>
      <c r="Z37" s="524"/>
      <c r="AA37" s="525"/>
      <c r="AB37" s="527"/>
    </row>
    <row r="38" spans="2:28" s="1" customFormat="1" ht="13.5" thickBot="1">
      <c r="B38" s="1401"/>
      <c r="C38" s="1402"/>
      <c r="D38" s="1408"/>
      <c r="E38" s="1412"/>
      <c r="F38" s="1417"/>
      <c r="G38" s="1420"/>
      <c r="H38" s="1423"/>
      <c r="I38" s="1389"/>
      <c r="J38" s="1392"/>
      <c r="K38" s="514"/>
      <c r="L38" s="516"/>
      <c r="M38" s="516"/>
      <c r="N38" s="516"/>
      <c r="O38" s="592">
        <v>406</v>
      </c>
      <c r="P38" s="512"/>
      <c r="Q38" s="513"/>
      <c r="R38" s="514"/>
      <c r="S38" s="514"/>
      <c r="T38" s="511"/>
      <c r="U38" s="508"/>
      <c r="V38" s="513"/>
      <c r="W38" s="515"/>
      <c r="X38" s="514"/>
      <c r="Y38" s="516"/>
      <c r="Z38" s="516"/>
      <c r="AA38" s="511"/>
      <c r="AB38" s="513"/>
    </row>
    <row r="39" spans="2:28" s="1" customFormat="1" ht="12.75">
      <c r="B39" s="1424" t="s">
        <v>149</v>
      </c>
      <c r="C39" s="1435"/>
      <c r="D39" s="1438">
        <v>13</v>
      </c>
      <c r="E39" s="1418">
        <f>D39/$D$86</f>
        <v>0.016049382716049384</v>
      </c>
      <c r="F39" s="1415">
        <v>4</v>
      </c>
      <c r="G39" s="1418">
        <f>F39/D39</f>
        <v>0.3076923076923077</v>
      </c>
      <c r="H39" s="1421">
        <f>(1*N5)+(3*T5)</f>
        <v>1347.2900000000002</v>
      </c>
      <c r="I39" s="1387">
        <f>H39/H86</f>
        <v>0.02525825079925063</v>
      </c>
      <c r="J39" s="1470">
        <f>H39/D39</f>
        <v>103.63769230769232</v>
      </c>
      <c r="K39" s="484"/>
      <c r="L39" s="485"/>
      <c r="M39" s="485"/>
      <c r="N39" s="485">
        <v>367</v>
      </c>
      <c r="O39" s="487"/>
      <c r="P39" s="488"/>
      <c r="Q39" s="489"/>
      <c r="R39" s="484"/>
      <c r="S39" s="484"/>
      <c r="T39" s="487">
        <v>625</v>
      </c>
      <c r="U39" s="506"/>
      <c r="V39" s="489"/>
      <c r="W39" s="490"/>
      <c r="X39" s="484"/>
      <c r="Y39" s="485"/>
      <c r="Z39" s="485"/>
      <c r="AA39" s="487"/>
      <c r="AB39" s="489"/>
    </row>
    <row r="40" spans="2:28" s="1" customFormat="1" ht="12.75">
      <c r="B40" s="1432"/>
      <c r="C40" s="1433"/>
      <c r="D40" s="1434"/>
      <c r="E40" s="1419"/>
      <c r="F40" s="1416"/>
      <c r="G40" s="1419"/>
      <c r="H40" s="1422"/>
      <c r="I40" s="1388"/>
      <c r="J40" s="1471"/>
      <c r="K40" s="491"/>
      <c r="L40" s="492"/>
      <c r="M40" s="492"/>
      <c r="N40" s="492"/>
      <c r="O40" s="494"/>
      <c r="P40" s="495"/>
      <c r="Q40" s="496"/>
      <c r="R40" s="491"/>
      <c r="S40" s="491"/>
      <c r="T40" s="494">
        <v>563</v>
      </c>
      <c r="U40" s="584"/>
      <c r="V40" s="496"/>
      <c r="W40" s="497"/>
      <c r="X40" s="491"/>
      <c r="Y40" s="492"/>
      <c r="Z40" s="492"/>
      <c r="AA40" s="494"/>
      <c r="AB40" s="496"/>
    </row>
    <row r="41" spans="2:28" s="1" customFormat="1" ht="13.5" thickBot="1">
      <c r="B41" s="1436"/>
      <c r="C41" s="1437"/>
      <c r="D41" s="1439"/>
      <c r="E41" s="1420"/>
      <c r="F41" s="1417"/>
      <c r="G41" s="1420"/>
      <c r="H41" s="1423"/>
      <c r="I41" s="1389"/>
      <c r="J41" s="1472"/>
      <c r="K41" s="498"/>
      <c r="L41" s="499"/>
      <c r="M41" s="505"/>
      <c r="N41" s="505"/>
      <c r="O41" s="501"/>
      <c r="P41" s="502"/>
      <c r="Q41" s="503"/>
      <c r="R41" s="498"/>
      <c r="S41" s="498"/>
      <c r="T41" s="501">
        <v>12</v>
      </c>
      <c r="U41" s="538"/>
      <c r="V41" s="503"/>
      <c r="W41" s="504"/>
      <c r="X41" s="498"/>
      <c r="Y41" s="505"/>
      <c r="Z41" s="505"/>
      <c r="AA41" s="501"/>
      <c r="AB41" s="503"/>
    </row>
    <row r="42" spans="2:28" s="1" customFormat="1" ht="12.75">
      <c r="B42" s="1449" t="s">
        <v>150</v>
      </c>
      <c r="C42" s="1450"/>
      <c r="D42" s="1455">
        <v>44</v>
      </c>
      <c r="E42" s="1458">
        <f>D42/$D$86</f>
        <v>0.05432098765432099</v>
      </c>
      <c r="F42" s="1461">
        <v>11</v>
      </c>
      <c r="G42" s="1464">
        <f>F42/D42</f>
        <v>0.25</v>
      </c>
      <c r="H42" s="1467">
        <f>(2*K5)+(2*N5)+(1*O5)+(2*Q5)+(1*R5)+(1*U5)+(2*Z5)</f>
        <v>4112.21</v>
      </c>
      <c r="I42" s="1446">
        <f>H42/H86</f>
        <v>0.07709344797273521</v>
      </c>
      <c r="J42" s="1390">
        <f>H42/D42</f>
        <v>93.45931818181818</v>
      </c>
      <c r="K42" s="549" t="s">
        <v>200</v>
      </c>
      <c r="L42" s="485"/>
      <c r="M42" s="485"/>
      <c r="N42" s="485">
        <v>424</v>
      </c>
      <c r="O42" s="487"/>
      <c r="P42" s="488"/>
      <c r="Q42" s="489">
        <v>99</v>
      </c>
      <c r="R42" s="484">
        <v>259</v>
      </c>
      <c r="S42" s="484"/>
      <c r="T42" s="487"/>
      <c r="U42" s="506">
        <v>105</v>
      </c>
      <c r="V42" s="489"/>
      <c r="W42" s="490"/>
      <c r="X42" s="484"/>
      <c r="Y42" s="485"/>
      <c r="Z42" s="485">
        <v>1000</v>
      </c>
      <c r="AA42" s="487"/>
      <c r="AB42" s="489"/>
    </row>
    <row r="43" spans="2:28" s="1" customFormat="1" ht="12.75">
      <c r="B43" s="1451"/>
      <c r="C43" s="1452"/>
      <c r="D43" s="1456"/>
      <c r="E43" s="1459"/>
      <c r="F43" s="1462"/>
      <c r="G43" s="1465"/>
      <c r="H43" s="1468"/>
      <c r="I43" s="1447"/>
      <c r="J43" s="1391"/>
      <c r="K43" s="514">
        <v>141</v>
      </c>
      <c r="L43" s="516"/>
      <c r="M43" s="516"/>
      <c r="N43" s="516">
        <v>335</v>
      </c>
      <c r="O43" s="511">
        <v>795</v>
      </c>
      <c r="P43" s="512"/>
      <c r="Q43" s="513">
        <v>861</v>
      </c>
      <c r="R43" s="514"/>
      <c r="S43" s="514"/>
      <c r="T43" s="511"/>
      <c r="U43" s="508"/>
      <c r="V43" s="513"/>
      <c r="W43" s="515"/>
      <c r="X43" s="514"/>
      <c r="Y43" s="516"/>
      <c r="Z43" s="516">
        <v>137</v>
      </c>
      <c r="AA43" s="511"/>
      <c r="AB43" s="513"/>
    </row>
    <row r="44" spans="2:28" s="1" customFormat="1" ht="12.75">
      <c r="B44" s="1451"/>
      <c r="C44" s="1452"/>
      <c r="D44" s="1456"/>
      <c r="E44" s="1459"/>
      <c r="F44" s="1462"/>
      <c r="G44" s="1465"/>
      <c r="H44" s="1468"/>
      <c r="I44" s="1447"/>
      <c r="J44" s="1391"/>
      <c r="K44" s="514"/>
      <c r="L44" s="516"/>
      <c r="M44" s="516"/>
      <c r="N44" s="516"/>
      <c r="O44" s="511"/>
      <c r="P44" s="512"/>
      <c r="Q44" s="513"/>
      <c r="R44" s="514"/>
      <c r="S44" s="514"/>
      <c r="T44" s="511"/>
      <c r="U44" s="508"/>
      <c r="V44" s="513"/>
      <c r="W44" s="515"/>
      <c r="X44" s="514"/>
      <c r="Y44" s="516"/>
      <c r="Z44" s="516"/>
      <c r="AA44" s="511"/>
      <c r="AB44" s="513"/>
    </row>
    <row r="45" spans="2:28" s="1" customFormat="1" ht="13.5" thickBot="1">
      <c r="B45" s="1453"/>
      <c r="C45" s="1454"/>
      <c r="D45" s="1457"/>
      <c r="E45" s="1460"/>
      <c r="F45" s="1463"/>
      <c r="G45" s="1466"/>
      <c r="H45" s="1469"/>
      <c r="I45" s="1448"/>
      <c r="J45" s="1392"/>
      <c r="K45" s="514"/>
      <c r="L45" s="516"/>
      <c r="M45" s="516"/>
      <c r="N45" s="516"/>
      <c r="O45" s="511"/>
      <c r="P45" s="512"/>
      <c r="Q45" s="513"/>
      <c r="R45" s="514"/>
      <c r="S45" s="514"/>
      <c r="T45" s="511"/>
      <c r="U45" s="508"/>
      <c r="V45" s="513"/>
      <c r="W45" s="515"/>
      <c r="X45" s="514"/>
      <c r="Y45" s="516"/>
      <c r="Z45" s="516"/>
      <c r="AA45" s="511"/>
      <c r="AB45" s="513"/>
    </row>
    <row r="46" spans="2:28" s="1" customFormat="1" ht="13.5" customHeight="1">
      <c r="B46" s="1399" t="s">
        <v>151</v>
      </c>
      <c r="C46" s="1400"/>
      <c r="D46" s="1407">
        <v>50</v>
      </c>
      <c r="E46" s="1411">
        <f>D46/$D$86</f>
        <v>0.06172839506172839</v>
      </c>
      <c r="F46" s="1415">
        <v>10</v>
      </c>
      <c r="G46" s="1418">
        <f>F46/D46</f>
        <v>0.2</v>
      </c>
      <c r="H46" s="1421">
        <f>(1*Q5)+(3*R5)+(1*S5)+(1*T5)+(2*W5)+(2*Y5)</f>
        <v>2083.66</v>
      </c>
      <c r="I46" s="1387">
        <f>H46/H86</f>
        <v>0.03906330994839014</v>
      </c>
      <c r="J46" s="1390">
        <f>H46/D46</f>
        <v>41.673199999999994</v>
      </c>
      <c r="K46" s="484"/>
      <c r="L46" s="485"/>
      <c r="M46" s="485"/>
      <c r="N46" s="485"/>
      <c r="O46" s="487"/>
      <c r="P46" s="488"/>
      <c r="Q46" s="489">
        <v>798</v>
      </c>
      <c r="R46" s="484">
        <v>464</v>
      </c>
      <c r="S46" s="484">
        <v>479</v>
      </c>
      <c r="T46" s="487">
        <v>621</v>
      </c>
      <c r="U46" s="506"/>
      <c r="V46" s="489"/>
      <c r="W46" s="490">
        <v>465</v>
      </c>
      <c r="X46" s="484"/>
      <c r="Y46" s="485">
        <v>1541</v>
      </c>
      <c r="Z46" s="485"/>
      <c r="AA46" s="487"/>
      <c r="AB46" s="489"/>
    </row>
    <row r="47" spans="2:28" s="1" customFormat="1" ht="12.75">
      <c r="B47" s="1399"/>
      <c r="C47" s="1400"/>
      <c r="D47" s="1407"/>
      <c r="E47" s="1411"/>
      <c r="F47" s="1416"/>
      <c r="G47" s="1419"/>
      <c r="H47" s="1422"/>
      <c r="I47" s="1388"/>
      <c r="J47" s="1391"/>
      <c r="K47" s="523"/>
      <c r="L47" s="524"/>
      <c r="M47" s="524"/>
      <c r="N47" s="524"/>
      <c r="O47" s="525"/>
      <c r="P47" s="526"/>
      <c r="Q47" s="527"/>
      <c r="R47" s="523">
        <v>235</v>
      </c>
      <c r="S47" s="523"/>
      <c r="T47" s="525"/>
      <c r="U47" s="551"/>
      <c r="V47" s="527"/>
      <c r="W47" s="528">
        <v>209</v>
      </c>
      <c r="X47" s="523"/>
      <c r="Y47" s="524">
        <v>195</v>
      </c>
      <c r="Z47" s="524"/>
      <c r="AA47" s="525"/>
      <c r="AB47" s="527"/>
    </row>
    <row r="48" spans="2:28" s="1" customFormat="1" ht="12.75">
      <c r="B48" s="1399"/>
      <c r="C48" s="1400"/>
      <c r="D48" s="1407"/>
      <c r="E48" s="1411"/>
      <c r="F48" s="1416"/>
      <c r="G48" s="1419"/>
      <c r="H48" s="1422"/>
      <c r="I48" s="1388"/>
      <c r="J48" s="1391"/>
      <c r="K48" s="523"/>
      <c r="L48" s="524"/>
      <c r="M48" s="524"/>
      <c r="N48" s="524"/>
      <c r="O48" s="525"/>
      <c r="P48" s="526"/>
      <c r="Q48" s="527"/>
      <c r="R48" s="523">
        <v>808</v>
      </c>
      <c r="S48" s="523"/>
      <c r="T48" s="525"/>
      <c r="U48" s="551"/>
      <c r="V48" s="527"/>
      <c r="W48" s="528"/>
      <c r="X48" s="523"/>
      <c r="Y48" s="524"/>
      <c r="Z48" s="524"/>
      <c r="AA48" s="525"/>
      <c r="AB48" s="527"/>
    </row>
    <row r="49" spans="2:28" s="1" customFormat="1" ht="12.75">
      <c r="B49" s="1399"/>
      <c r="C49" s="1400"/>
      <c r="D49" s="1407"/>
      <c r="E49" s="1411"/>
      <c r="F49" s="1416"/>
      <c r="G49" s="1419"/>
      <c r="H49" s="1422"/>
      <c r="I49" s="1388"/>
      <c r="J49" s="1391"/>
      <c r="K49" s="523"/>
      <c r="L49" s="524"/>
      <c r="M49" s="524"/>
      <c r="N49" s="524"/>
      <c r="O49" s="525"/>
      <c r="P49" s="526"/>
      <c r="Q49" s="527"/>
      <c r="R49" s="523"/>
      <c r="S49" s="523"/>
      <c r="T49" s="525"/>
      <c r="U49" s="551"/>
      <c r="V49" s="527"/>
      <c r="W49" s="528"/>
      <c r="X49" s="523"/>
      <c r="Y49" s="524"/>
      <c r="Z49" s="524"/>
      <c r="AA49" s="525"/>
      <c r="AB49" s="527"/>
    </row>
    <row r="50" spans="1:28" s="6" customFormat="1" ht="13.5" thickBot="1">
      <c r="A50" s="1"/>
      <c r="B50" s="1401"/>
      <c r="C50" s="1402"/>
      <c r="D50" s="1408"/>
      <c r="E50" s="1412"/>
      <c r="F50" s="1417"/>
      <c r="G50" s="1420"/>
      <c r="H50" s="1423"/>
      <c r="I50" s="1389"/>
      <c r="J50" s="1392"/>
      <c r="K50" s="514"/>
      <c r="L50" s="516"/>
      <c r="M50" s="516"/>
      <c r="N50" s="516"/>
      <c r="O50" s="511"/>
      <c r="P50" s="512"/>
      <c r="Q50" s="513"/>
      <c r="R50" s="514"/>
      <c r="S50" s="514"/>
      <c r="T50" s="511"/>
      <c r="U50" s="508"/>
      <c r="V50" s="513"/>
      <c r="W50" s="515"/>
      <c r="X50" s="514"/>
      <c r="Y50" s="516"/>
      <c r="Z50" s="516"/>
      <c r="AA50" s="511"/>
      <c r="AB50" s="513"/>
    </row>
    <row r="51" spans="2:28" s="1" customFormat="1" ht="15" customHeight="1" thickBot="1">
      <c r="B51" s="1440" t="s">
        <v>152</v>
      </c>
      <c r="C51" s="1441"/>
      <c r="D51" s="1442">
        <v>38</v>
      </c>
      <c r="E51" s="1443">
        <f>D51/$D$86</f>
        <v>0.04691358024691358</v>
      </c>
      <c r="F51" s="1415">
        <v>13</v>
      </c>
      <c r="G51" s="1418">
        <f>F51/D51</f>
        <v>0.34210526315789475</v>
      </c>
      <c r="H51" s="1421">
        <f>(3*M5)+(2*N5)+(1*O5)+(1*P5)+(3*T5)+(3*W5)</f>
        <v>3345.6800000000003</v>
      </c>
      <c r="I51" s="1387">
        <f>H51/H86</f>
        <v>0.06272296575647177</v>
      </c>
      <c r="J51" s="1390">
        <f>H51/D51</f>
        <v>88.0442105263158</v>
      </c>
      <c r="K51" s="484"/>
      <c r="L51" s="485"/>
      <c r="M51" s="485">
        <v>407</v>
      </c>
      <c r="N51" s="485">
        <v>517</v>
      </c>
      <c r="O51" s="487">
        <v>806</v>
      </c>
      <c r="P51" s="488">
        <v>438</v>
      </c>
      <c r="Q51" s="489"/>
      <c r="R51" s="484"/>
      <c r="S51" s="484"/>
      <c r="T51" s="487">
        <v>157</v>
      </c>
      <c r="U51" s="506"/>
      <c r="V51" s="489"/>
      <c r="W51" s="490">
        <v>278</v>
      </c>
      <c r="X51" s="484"/>
      <c r="Y51" s="485"/>
      <c r="Z51" s="485"/>
      <c r="AA51" s="487"/>
      <c r="AB51" s="489"/>
    </row>
    <row r="52" spans="2:28" s="1" customFormat="1" ht="13.5" thickBot="1">
      <c r="B52" s="1440"/>
      <c r="C52" s="1441"/>
      <c r="D52" s="1442"/>
      <c r="E52" s="1443"/>
      <c r="F52" s="1416"/>
      <c r="G52" s="1419"/>
      <c r="H52" s="1422"/>
      <c r="I52" s="1388"/>
      <c r="J52" s="1391"/>
      <c r="K52" s="514"/>
      <c r="L52" s="516"/>
      <c r="M52" s="516">
        <v>607</v>
      </c>
      <c r="N52" s="516">
        <v>1544</v>
      </c>
      <c r="O52" s="511"/>
      <c r="P52" s="512"/>
      <c r="Q52" s="513"/>
      <c r="R52" s="514"/>
      <c r="S52" s="514"/>
      <c r="T52" s="511">
        <v>254</v>
      </c>
      <c r="U52" s="508"/>
      <c r="V52" s="513"/>
      <c r="W52" s="515">
        <v>744</v>
      </c>
      <c r="X52" s="514"/>
      <c r="Y52" s="516"/>
      <c r="Z52" s="516"/>
      <c r="AA52" s="511"/>
      <c r="AB52" s="513"/>
    </row>
    <row r="53" spans="2:28" s="1" customFormat="1" ht="13.5" thickBot="1">
      <c r="B53" s="1440"/>
      <c r="C53" s="1441"/>
      <c r="D53" s="1442"/>
      <c r="E53" s="1443"/>
      <c r="F53" s="1416"/>
      <c r="G53" s="1419"/>
      <c r="H53" s="1422"/>
      <c r="I53" s="1388"/>
      <c r="J53" s="1391"/>
      <c r="K53" s="540"/>
      <c r="L53" s="541"/>
      <c r="M53" s="541">
        <v>494</v>
      </c>
      <c r="N53" s="541"/>
      <c r="O53" s="542"/>
      <c r="P53" s="543"/>
      <c r="Q53" s="544"/>
      <c r="R53" s="540"/>
      <c r="S53" s="540"/>
      <c r="T53" s="542">
        <v>490</v>
      </c>
      <c r="U53" s="552"/>
      <c r="V53" s="544"/>
      <c r="W53" s="545">
        <v>584</v>
      </c>
      <c r="X53" s="540"/>
      <c r="Y53" s="541"/>
      <c r="Z53" s="541"/>
      <c r="AA53" s="542"/>
      <c r="AB53" s="544"/>
    </row>
    <row r="54" spans="2:28" s="1" customFormat="1" ht="13.5" thickBot="1">
      <c r="B54" s="1440"/>
      <c r="C54" s="1441"/>
      <c r="D54" s="1442"/>
      <c r="E54" s="1443"/>
      <c r="F54" s="1416"/>
      <c r="G54" s="1419"/>
      <c r="H54" s="1422"/>
      <c r="I54" s="1388"/>
      <c r="J54" s="1392"/>
      <c r="K54" s="540"/>
      <c r="L54" s="541"/>
      <c r="M54" s="541"/>
      <c r="N54" s="541"/>
      <c r="O54" s="542"/>
      <c r="P54" s="543"/>
      <c r="Q54" s="544"/>
      <c r="R54" s="540"/>
      <c r="S54" s="540"/>
      <c r="T54" s="542"/>
      <c r="U54" s="552"/>
      <c r="V54" s="544"/>
      <c r="W54" s="545"/>
      <c r="X54" s="540"/>
      <c r="Y54" s="541"/>
      <c r="Z54" s="541"/>
      <c r="AA54" s="542"/>
      <c r="AB54" s="544"/>
    </row>
    <row r="55" spans="2:28" s="1" customFormat="1" ht="15" customHeight="1" thickBot="1">
      <c r="B55" s="1444" t="s">
        <v>153</v>
      </c>
      <c r="C55" s="1445"/>
      <c r="D55" s="1442">
        <v>20</v>
      </c>
      <c r="E55" s="1443">
        <f>D55/$D$86</f>
        <v>0.024691358024691357</v>
      </c>
      <c r="F55" s="1415">
        <v>4</v>
      </c>
      <c r="G55" s="1418">
        <f>F55/D55</f>
        <v>0.2</v>
      </c>
      <c r="H55" s="1421">
        <f>(1*M5)+(1*N5)+(1*R5)+(1*S5)</f>
        <v>699.81</v>
      </c>
      <c r="I55" s="1387">
        <f>H55/H86</f>
        <v>0.013119652407294331</v>
      </c>
      <c r="J55" s="1391">
        <f>H55/D55</f>
        <v>34.9905</v>
      </c>
      <c r="K55" s="484"/>
      <c r="L55" s="485"/>
      <c r="M55" s="485">
        <v>147</v>
      </c>
      <c r="N55" s="485">
        <v>763</v>
      </c>
      <c r="O55" s="487"/>
      <c r="P55" s="488"/>
      <c r="Q55" s="489"/>
      <c r="R55" s="484">
        <v>589</v>
      </c>
      <c r="S55" s="484">
        <v>305</v>
      </c>
      <c r="T55" s="487"/>
      <c r="U55" s="506"/>
      <c r="V55" s="489"/>
      <c r="W55" s="490"/>
      <c r="X55" s="484"/>
      <c r="Y55" s="485"/>
      <c r="Z55" s="485"/>
      <c r="AA55" s="487"/>
      <c r="AB55" s="489"/>
    </row>
    <row r="56" spans="1:28" s="6" customFormat="1" ht="13.5" thickBot="1">
      <c r="A56" s="1"/>
      <c r="B56" s="1444"/>
      <c r="C56" s="1445"/>
      <c r="D56" s="1442"/>
      <c r="E56" s="1443"/>
      <c r="F56" s="1417"/>
      <c r="G56" s="1420"/>
      <c r="H56" s="1423"/>
      <c r="I56" s="1389"/>
      <c r="J56" s="1391"/>
      <c r="K56" s="498"/>
      <c r="L56" s="499"/>
      <c r="M56" s="505"/>
      <c r="N56" s="505"/>
      <c r="O56" s="501"/>
      <c r="P56" s="502"/>
      <c r="Q56" s="503"/>
      <c r="R56" s="498"/>
      <c r="S56" s="498"/>
      <c r="T56" s="501"/>
      <c r="U56" s="538"/>
      <c r="V56" s="503"/>
      <c r="W56" s="504"/>
      <c r="X56" s="498"/>
      <c r="Y56" s="505"/>
      <c r="Z56" s="505"/>
      <c r="AA56" s="501"/>
      <c r="AB56" s="503"/>
    </row>
    <row r="57" spans="2:28" s="1" customFormat="1" ht="15" customHeight="1" thickBot="1">
      <c r="B57" s="1444" t="s">
        <v>154</v>
      </c>
      <c r="C57" s="1445"/>
      <c r="D57" s="1442">
        <v>20</v>
      </c>
      <c r="E57" s="1443">
        <f>D57/$D$86</f>
        <v>0.024691358024691357</v>
      </c>
      <c r="F57" s="1415">
        <v>4</v>
      </c>
      <c r="G57" s="1418">
        <f>F57/D57</f>
        <v>0.2</v>
      </c>
      <c r="H57" s="1421">
        <f>(1*N5)+(1*O5)+(1*U5)+(1*AB5)</f>
        <v>956.72</v>
      </c>
      <c r="I57" s="1387">
        <f>H57/H86</f>
        <v>0.01793605957489409</v>
      </c>
      <c r="J57" s="1390">
        <f>H57/D57</f>
        <v>47.836</v>
      </c>
      <c r="K57" s="484"/>
      <c r="L57" s="485"/>
      <c r="M57" s="485"/>
      <c r="N57" s="485">
        <v>585</v>
      </c>
      <c r="O57" s="487">
        <v>676</v>
      </c>
      <c r="P57" s="488"/>
      <c r="Q57" s="489"/>
      <c r="R57" s="484"/>
      <c r="S57" s="484"/>
      <c r="T57" s="487"/>
      <c r="U57" s="506">
        <v>223</v>
      </c>
      <c r="V57" s="489"/>
      <c r="W57" s="490"/>
      <c r="X57" s="484"/>
      <c r="Y57" s="485"/>
      <c r="Z57" s="485"/>
      <c r="AA57" s="487"/>
      <c r="AB57" s="489">
        <v>987</v>
      </c>
    </row>
    <row r="58" spans="1:28" s="6" customFormat="1" ht="13.5" thickBot="1">
      <c r="A58" s="1"/>
      <c r="B58" s="1444"/>
      <c r="C58" s="1445"/>
      <c r="D58" s="1442"/>
      <c r="E58" s="1443"/>
      <c r="F58" s="1417"/>
      <c r="G58" s="1420"/>
      <c r="H58" s="1423"/>
      <c r="I58" s="1389"/>
      <c r="J58" s="1392"/>
      <c r="K58" s="498"/>
      <c r="L58" s="499"/>
      <c r="M58" s="505"/>
      <c r="N58" s="505"/>
      <c r="O58" s="501"/>
      <c r="P58" s="502"/>
      <c r="Q58" s="503"/>
      <c r="R58" s="498"/>
      <c r="S58" s="498"/>
      <c r="T58" s="501"/>
      <c r="U58" s="538"/>
      <c r="V58" s="503"/>
      <c r="W58" s="504"/>
      <c r="X58" s="498"/>
      <c r="Y58" s="505"/>
      <c r="Z58" s="505"/>
      <c r="AA58" s="501"/>
      <c r="AB58" s="503"/>
    </row>
    <row r="59" spans="2:28" s="1" customFormat="1" ht="15" customHeight="1" thickBot="1">
      <c r="B59" s="1440" t="s">
        <v>155</v>
      </c>
      <c r="C59" s="1441"/>
      <c r="D59" s="1442">
        <v>38</v>
      </c>
      <c r="E59" s="1443">
        <f>D59/$D$86</f>
        <v>0.04691358024691358</v>
      </c>
      <c r="F59" s="1415">
        <v>13</v>
      </c>
      <c r="G59" s="1418">
        <f>F59/D59</f>
        <v>0.34210526315789475</v>
      </c>
      <c r="H59" s="1421">
        <f>(3*N5)+(2*O5)+(1*Q5)+(1*R5)+(1*T5)+(1*W5)+(4*Y5)</f>
        <v>3410.2400000000002</v>
      </c>
      <c r="I59" s="1387">
        <f>H59/H86</f>
        <v>0.06393330107522245</v>
      </c>
      <c r="J59" s="1390">
        <f>H59/D59</f>
        <v>89.74315789473685</v>
      </c>
      <c r="K59" s="484"/>
      <c r="L59" s="485"/>
      <c r="M59" s="485"/>
      <c r="N59" s="485">
        <v>706</v>
      </c>
      <c r="O59" s="487">
        <v>88</v>
      </c>
      <c r="P59" s="488"/>
      <c r="Q59" s="489">
        <v>390</v>
      </c>
      <c r="R59" s="484">
        <v>179</v>
      </c>
      <c r="S59" s="484"/>
      <c r="T59" s="487">
        <v>360</v>
      </c>
      <c r="U59" s="506"/>
      <c r="V59" s="489"/>
      <c r="W59" s="490">
        <v>986</v>
      </c>
      <c r="X59" s="484"/>
      <c r="Y59" s="485">
        <v>179</v>
      </c>
      <c r="Z59" s="485"/>
      <c r="AA59" s="487"/>
      <c r="AB59" s="489"/>
    </row>
    <row r="60" spans="2:28" s="1" customFormat="1" ht="13.5" thickBot="1">
      <c r="B60" s="1440"/>
      <c r="C60" s="1441"/>
      <c r="D60" s="1442"/>
      <c r="E60" s="1443"/>
      <c r="F60" s="1416"/>
      <c r="G60" s="1419"/>
      <c r="H60" s="1422"/>
      <c r="I60" s="1388"/>
      <c r="J60" s="1391"/>
      <c r="K60" s="508"/>
      <c r="L60" s="516"/>
      <c r="M60" s="516"/>
      <c r="N60" s="516">
        <v>655</v>
      </c>
      <c r="O60" s="511">
        <v>1525</v>
      </c>
      <c r="P60" s="512"/>
      <c r="Q60" s="513"/>
      <c r="R60" s="514"/>
      <c r="S60" s="514"/>
      <c r="T60" s="511"/>
      <c r="U60" s="508"/>
      <c r="V60" s="513"/>
      <c r="W60" s="515"/>
      <c r="X60" s="514"/>
      <c r="Y60" s="516">
        <v>360</v>
      </c>
      <c r="Z60" s="516"/>
      <c r="AA60" s="511"/>
      <c r="AB60" s="513"/>
    </row>
    <row r="61" spans="2:28" s="1" customFormat="1" ht="13.5" thickBot="1">
      <c r="B61" s="1440"/>
      <c r="C61" s="1441"/>
      <c r="D61" s="1442"/>
      <c r="E61" s="1443"/>
      <c r="F61" s="1416"/>
      <c r="G61" s="1419"/>
      <c r="H61" s="1422"/>
      <c r="I61" s="1388"/>
      <c r="J61" s="1391"/>
      <c r="K61" s="491"/>
      <c r="L61" s="492"/>
      <c r="M61" s="492"/>
      <c r="N61" s="492">
        <v>820</v>
      </c>
      <c r="O61" s="494"/>
      <c r="P61" s="495"/>
      <c r="Q61" s="496"/>
      <c r="R61" s="491"/>
      <c r="S61" s="491"/>
      <c r="T61" s="494"/>
      <c r="U61" s="584"/>
      <c r="V61" s="496"/>
      <c r="W61" s="497"/>
      <c r="X61" s="491"/>
      <c r="Y61" s="492">
        <v>304</v>
      </c>
      <c r="Z61" s="492"/>
      <c r="AA61" s="494"/>
      <c r="AB61" s="496"/>
    </row>
    <row r="62" spans="2:28" s="1" customFormat="1" ht="13.5" thickBot="1">
      <c r="B62" s="1440"/>
      <c r="C62" s="1441"/>
      <c r="D62" s="1442"/>
      <c r="E62" s="1443"/>
      <c r="F62" s="1417"/>
      <c r="G62" s="1420"/>
      <c r="H62" s="1423"/>
      <c r="I62" s="1389"/>
      <c r="J62" s="1392"/>
      <c r="K62" s="498"/>
      <c r="L62" s="499"/>
      <c r="M62" s="505"/>
      <c r="N62" s="505"/>
      <c r="O62" s="501"/>
      <c r="P62" s="502"/>
      <c r="Q62" s="503"/>
      <c r="R62" s="498"/>
      <c r="S62" s="498"/>
      <c r="T62" s="501"/>
      <c r="U62" s="538"/>
      <c r="V62" s="503"/>
      <c r="W62" s="504"/>
      <c r="X62" s="498"/>
      <c r="Y62" s="505">
        <v>70</v>
      </c>
      <c r="Z62" s="505"/>
      <c r="AA62" s="501"/>
      <c r="AB62" s="503"/>
    </row>
    <row r="63" spans="2:29" s="1" customFormat="1" ht="13.5" thickBot="1">
      <c r="B63" s="1440" t="s">
        <v>156</v>
      </c>
      <c r="C63" s="1441"/>
      <c r="D63" s="1442">
        <v>25</v>
      </c>
      <c r="E63" s="1443">
        <f>D63/$D$86</f>
        <v>0.030864197530864196</v>
      </c>
      <c r="F63" s="1415">
        <v>9</v>
      </c>
      <c r="G63" s="1418">
        <f>F63/D63</f>
        <v>0.36</v>
      </c>
      <c r="H63" s="1421">
        <f>(1*K5)+(1*N5)+(4*O5)+(1*Q5)+(1*U5)+(1*Y5)</f>
        <v>2852.8</v>
      </c>
      <c r="I63" s="1387">
        <f>H63/H86</f>
        <v>0.05348272300700086</v>
      </c>
      <c r="J63" s="1390">
        <f>H63/D63</f>
        <v>114.11200000000001</v>
      </c>
      <c r="K63" s="484">
        <v>41</v>
      </c>
      <c r="L63" s="485"/>
      <c r="M63" s="485"/>
      <c r="N63" s="485">
        <v>323</v>
      </c>
      <c r="O63" s="487">
        <v>26</v>
      </c>
      <c r="P63" s="488"/>
      <c r="Q63" s="489">
        <v>344</v>
      </c>
      <c r="R63" s="484"/>
      <c r="S63" s="484"/>
      <c r="T63" s="487"/>
      <c r="U63" s="506">
        <v>835</v>
      </c>
      <c r="V63" s="489"/>
      <c r="W63" s="490"/>
      <c r="X63" s="484"/>
      <c r="Y63" s="485">
        <v>957</v>
      </c>
      <c r="Z63" s="485"/>
      <c r="AA63" s="487"/>
      <c r="AB63" s="489"/>
      <c r="AC63" s="393"/>
    </row>
    <row r="64" spans="2:29" s="1" customFormat="1" ht="13.5" thickBot="1">
      <c r="B64" s="1440"/>
      <c r="C64" s="1441"/>
      <c r="D64" s="1442"/>
      <c r="E64" s="1443"/>
      <c r="F64" s="1416"/>
      <c r="G64" s="1419"/>
      <c r="H64" s="1422"/>
      <c r="I64" s="1388"/>
      <c r="J64" s="1391"/>
      <c r="K64" s="523"/>
      <c r="L64" s="524"/>
      <c r="M64" s="524"/>
      <c r="N64" s="524"/>
      <c r="O64" s="525">
        <v>108</v>
      </c>
      <c r="P64" s="526"/>
      <c r="Q64" s="527"/>
      <c r="R64" s="523"/>
      <c r="S64" s="523"/>
      <c r="T64" s="525"/>
      <c r="U64" s="551"/>
      <c r="V64" s="527"/>
      <c r="W64" s="528"/>
      <c r="X64" s="523"/>
      <c r="Y64" s="524"/>
      <c r="Z64" s="524"/>
      <c r="AA64" s="525"/>
      <c r="AB64" s="527"/>
      <c r="AC64" s="393"/>
    </row>
    <row r="65" spans="2:29" s="1" customFormat="1" ht="13.5" thickBot="1">
      <c r="B65" s="1440"/>
      <c r="C65" s="1441"/>
      <c r="D65" s="1442"/>
      <c r="E65" s="1443"/>
      <c r="F65" s="1416"/>
      <c r="G65" s="1419"/>
      <c r="H65" s="1422"/>
      <c r="I65" s="1388"/>
      <c r="J65" s="1391"/>
      <c r="K65" s="523"/>
      <c r="L65" s="524"/>
      <c r="M65" s="524"/>
      <c r="N65" s="524"/>
      <c r="O65" s="525">
        <v>663</v>
      </c>
      <c r="P65" s="526"/>
      <c r="Q65" s="527"/>
      <c r="R65" s="523"/>
      <c r="S65" s="523"/>
      <c r="T65" s="525"/>
      <c r="U65" s="551"/>
      <c r="V65" s="527"/>
      <c r="W65" s="528"/>
      <c r="X65" s="523"/>
      <c r="Y65" s="524"/>
      <c r="Z65" s="524"/>
      <c r="AA65" s="525"/>
      <c r="AB65" s="527"/>
      <c r="AC65" s="393"/>
    </row>
    <row r="66" spans="2:29" s="1" customFormat="1" ht="13.5" thickBot="1">
      <c r="B66" s="1440"/>
      <c r="C66" s="1441"/>
      <c r="D66" s="1442"/>
      <c r="E66" s="1443"/>
      <c r="F66" s="1416"/>
      <c r="G66" s="1419"/>
      <c r="H66" s="1422"/>
      <c r="I66" s="1388"/>
      <c r="J66" s="1391"/>
      <c r="K66" s="523"/>
      <c r="L66" s="524"/>
      <c r="M66" s="524"/>
      <c r="N66" s="524"/>
      <c r="O66" s="525">
        <v>30</v>
      </c>
      <c r="P66" s="526"/>
      <c r="Q66" s="527"/>
      <c r="R66" s="523"/>
      <c r="S66" s="523"/>
      <c r="T66" s="525"/>
      <c r="U66" s="551"/>
      <c r="V66" s="527"/>
      <c r="W66" s="528"/>
      <c r="X66" s="523"/>
      <c r="Y66" s="524"/>
      <c r="Z66" s="524"/>
      <c r="AA66" s="525"/>
      <c r="AB66" s="527"/>
      <c r="AC66" s="393"/>
    </row>
    <row r="67" spans="2:28" s="1" customFormat="1" ht="13.5" customHeight="1">
      <c r="B67" s="1424" t="s">
        <v>157</v>
      </c>
      <c r="C67" s="1435"/>
      <c r="D67" s="1438">
        <v>37</v>
      </c>
      <c r="E67" s="1418">
        <f>D67/$D$86</f>
        <v>0.04567901234567901</v>
      </c>
      <c r="F67" s="1415">
        <v>9</v>
      </c>
      <c r="G67" s="1418">
        <f>F67/D67</f>
        <v>0.24324324324324326</v>
      </c>
      <c r="H67" s="1421">
        <f>(2*K5)+(1*L5)+(1*M5)+(2*P5)+(1*X5)+(2*Y5)</f>
        <v>3450.61</v>
      </c>
      <c r="I67" s="1387">
        <f>H67/H86</f>
        <v>0.06469013559842514</v>
      </c>
      <c r="J67" s="1390">
        <f>H67/D67</f>
        <v>93.25972972972973</v>
      </c>
      <c r="K67" s="484">
        <v>283</v>
      </c>
      <c r="L67" s="485">
        <v>531</v>
      </c>
      <c r="M67" s="485">
        <v>27</v>
      </c>
      <c r="N67" s="485"/>
      <c r="O67" s="487"/>
      <c r="P67" s="488">
        <v>832</v>
      </c>
      <c r="Q67" s="489"/>
      <c r="R67" s="484"/>
      <c r="S67" s="484"/>
      <c r="T67" s="487"/>
      <c r="U67" s="506"/>
      <c r="V67" s="489"/>
      <c r="W67" s="490"/>
      <c r="X67" s="484">
        <v>77</v>
      </c>
      <c r="Y67" s="485">
        <v>694</v>
      </c>
      <c r="Z67" s="485"/>
      <c r="AA67" s="487"/>
      <c r="AB67" s="489"/>
    </row>
    <row r="68" spans="2:28" s="1" customFormat="1" ht="12.75">
      <c r="B68" s="1432"/>
      <c r="C68" s="1433"/>
      <c r="D68" s="1434"/>
      <c r="E68" s="1419"/>
      <c r="F68" s="1416"/>
      <c r="G68" s="1419"/>
      <c r="H68" s="1422"/>
      <c r="I68" s="1388"/>
      <c r="J68" s="1391"/>
      <c r="K68" s="523">
        <v>1534</v>
      </c>
      <c r="L68" s="524"/>
      <c r="M68" s="524"/>
      <c r="N68" s="524"/>
      <c r="O68" s="525"/>
      <c r="P68" s="526">
        <v>658</v>
      </c>
      <c r="Q68" s="527"/>
      <c r="R68" s="523"/>
      <c r="S68" s="523"/>
      <c r="T68" s="525"/>
      <c r="U68" s="551"/>
      <c r="V68" s="527"/>
      <c r="W68" s="528"/>
      <c r="X68" s="523"/>
      <c r="Y68" s="524">
        <v>263</v>
      </c>
      <c r="Z68" s="524"/>
      <c r="AA68" s="525"/>
      <c r="AB68" s="527"/>
    </row>
    <row r="69" spans="2:28" s="1" customFormat="1" ht="13.5" thickBot="1">
      <c r="B69" s="1436"/>
      <c r="C69" s="1437"/>
      <c r="D69" s="1439"/>
      <c r="E69" s="1420"/>
      <c r="F69" s="1417"/>
      <c r="G69" s="1420"/>
      <c r="H69" s="1423"/>
      <c r="I69" s="1389"/>
      <c r="J69" s="1392"/>
      <c r="K69" s="514"/>
      <c r="L69" s="516"/>
      <c r="M69" s="516"/>
      <c r="N69" s="516"/>
      <c r="O69" s="511"/>
      <c r="P69" s="512"/>
      <c r="Q69" s="513"/>
      <c r="R69" s="514"/>
      <c r="S69" s="514"/>
      <c r="T69" s="511"/>
      <c r="U69" s="508"/>
      <c r="V69" s="513"/>
      <c r="W69" s="515"/>
      <c r="X69" s="514"/>
      <c r="Y69" s="516"/>
      <c r="Z69" s="516"/>
      <c r="AA69" s="511"/>
      <c r="AB69" s="513"/>
    </row>
    <row r="70" spans="2:28" s="1" customFormat="1" ht="13.5" customHeight="1">
      <c r="B70" s="1432" t="s">
        <v>158</v>
      </c>
      <c r="C70" s="1433"/>
      <c r="D70" s="1434">
        <v>51</v>
      </c>
      <c r="E70" s="1419">
        <f>D70/$D$86</f>
        <v>0.06296296296296296</v>
      </c>
      <c r="F70" s="1415">
        <v>14</v>
      </c>
      <c r="G70" s="1418">
        <f>F70/D70</f>
        <v>0.27450980392156865</v>
      </c>
      <c r="H70" s="1421">
        <f>(1*K5)+(1*N5)+(3*Q5)+(1*U5)+(2*W5)+(5*Y5)+(1*AB5)</f>
        <v>4594.14</v>
      </c>
      <c r="I70" s="1387">
        <f>H70/H86</f>
        <v>0.08612840615373771</v>
      </c>
      <c r="J70" s="1390">
        <f>H70/D70</f>
        <v>90.08117647058825</v>
      </c>
      <c r="K70" s="484">
        <v>830</v>
      </c>
      <c r="L70" s="485"/>
      <c r="M70" s="485"/>
      <c r="N70" s="485">
        <v>1542</v>
      </c>
      <c r="O70" s="487"/>
      <c r="P70" s="488"/>
      <c r="Q70" s="489">
        <v>578</v>
      </c>
      <c r="R70" s="484"/>
      <c r="S70" s="484"/>
      <c r="T70" s="487"/>
      <c r="U70" s="506">
        <v>190</v>
      </c>
      <c r="V70" s="489"/>
      <c r="W70" s="490">
        <v>434</v>
      </c>
      <c r="X70" s="484"/>
      <c r="Y70" s="485">
        <v>431</v>
      </c>
      <c r="Z70" s="485"/>
      <c r="AA70" s="487"/>
      <c r="AB70" s="489">
        <v>775</v>
      </c>
    </row>
    <row r="71" spans="2:28" s="1" customFormat="1" ht="12.75">
      <c r="B71" s="1432"/>
      <c r="C71" s="1433"/>
      <c r="D71" s="1434"/>
      <c r="E71" s="1419"/>
      <c r="F71" s="1416"/>
      <c r="G71" s="1419"/>
      <c r="H71" s="1422"/>
      <c r="I71" s="1388"/>
      <c r="J71" s="1391"/>
      <c r="K71" s="514"/>
      <c r="L71" s="516"/>
      <c r="M71" s="516"/>
      <c r="N71" s="516"/>
      <c r="O71" s="511"/>
      <c r="P71" s="512"/>
      <c r="Q71" s="513">
        <v>303</v>
      </c>
      <c r="R71" s="514"/>
      <c r="S71" s="514"/>
      <c r="T71" s="511"/>
      <c r="U71" s="508"/>
      <c r="V71" s="513"/>
      <c r="W71" s="515">
        <v>165</v>
      </c>
      <c r="X71" s="514"/>
      <c r="Y71" s="516">
        <v>739</v>
      </c>
      <c r="Z71" s="516"/>
      <c r="AA71" s="511"/>
      <c r="AB71" s="513"/>
    </row>
    <row r="72" spans="2:28" s="1" customFormat="1" ht="12.75">
      <c r="B72" s="1432"/>
      <c r="C72" s="1433"/>
      <c r="D72" s="1434"/>
      <c r="E72" s="1419"/>
      <c r="F72" s="1416"/>
      <c r="G72" s="1419"/>
      <c r="H72" s="1422"/>
      <c r="I72" s="1388"/>
      <c r="J72" s="1391"/>
      <c r="K72" s="514"/>
      <c r="L72" s="516"/>
      <c r="M72" s="516"/>
      <c r="N72" s="516"/>
      <c r="O72" s="511"/>
      <c r="P72" s="512"/>
      <c r="Q72" s="513">
        <v>557</v>
      </c>
      <c r="R72" s="514"/>
      <c r="S72" s="514"/>
      <c r="T72" s="511"/>
      <c r="U72" s="508"/>
      <c r="V72" s="513"/>
      <c r="W72" s="515"/>
      <c r="X72" s="514"/>
      <c r="Y72" s="516">
        <v>186</v>
      </c>
      <c r="Z72" s="516"/>
      <c r="AA72" s="511"/>
      <c r="AB72" s="513"/>
    </row>
    <row r="73" spans="2:28" s="1" customFormat="1" ht="12.75">
      <c r="B73" s="1432"/>
      <c r="C73" s="1433"/>
      <c r="D73" s="1434"/>
      <c r="E73" s="1419"/>
      <c r="F73" s="1416"/>
      <c r="G73" s="1419"/>
      <c r="H73" s="1422"/>
      <c r="I73" s="1388"/>
      <c r="J73" s="1391"/>
      <c r="K73" s="514"/>
      <c r="L73" s="516"/>
      <c r="M73" s="516"/>
      <c r="N73" s="516"/>
      <c r="O73" s="511"/>
      <c r="P73" s="512"/>
      <c r="Q73" s="513"/>
      <c r="R73" s="514"/>
      <c r="S73" s="514"/>
      <c r="T73" s="511"/>
      <c r="U73" s="508"/>
      <c r="V73" s="513"/>
      <c r="W73" s="515"/>
      <c r="X73" s="514"/>
      <c r="Y73" s="516">
        <v>142</v>
      </c>
      <c r="Z73" s="516"/>
      <c r="AA73" s="511"/>
      <c r="AB73" s="513"/>
    </row>
    <row r="74" spans="2:28" s="1" customFormat="1" ht="13.5" thickBot="1">
      <c r="B74" s="1432"/>
      <c r="C74" s="1433"/>
      <c r="D74" s="1434"/>
      <c r="E74" s="1419"/>
      <c r="F74" s="1416"/>
      <c r="G74" s="1419"/>
      <c r="H74" s="1422"/>
      <c r="I74" s="1388"/>
      <c r="J74" s="1391"/>
      <c r="K74" s="514"/>
      <c r="L74" s="516"/>
      <c r="M74" s="516"/>
      <c r="N74" s="516"/>
      <c r="O74" s="511"/>
      <c r="P74" s="512"/>
      <c r="Q74" s="513"/>
      <c r="R74" s="514"/>
      <c r="S74" s="514"/>
      <c r="T74" s="511"/>
      <c r="U74" s="508"/>
      <c r="V74" s="513"/>
      <c r="W74" s="515"/>
      <c r="X74" s="514"/>
      <c r="Y74" s="516">
        <v>394</v>
      </c>
      <c r="Z74" s="516"/>
      <c r="AA74" s="511"/>
      <c r="AB74" s="513"/>
    </row>
    <row r="75" spans="1:29" ht="12.75" customHeight="1">
      <c r="A75" s="5"/>
      <c r="B75" s="1424" t="s">
        <v>159</v>
      </c>
      <c r="C75" s="1425"/>
      <c r="D75" s="1415">
        <v>76</v>
      </c>
      <c r="E75" s="1418">
        <f>D75/$D$86</f>
        <v>0.09382716049382717</v>
      </c>
      <c r="F75" s="1415">
        <v>15</v>
      </c>
      <c r="G75" s="1418">
        <f>F75/D75</f>
        <v>0.19736842105263158</v>
      </c>
      <c r="H75" s="1421">
        <f>(5*N5)+(1*O5)+(2*R5)+(1*T5)+(3*W5)+(1*X5)+(1*Y5)+(1*AB5)</f>
        <v>3061.02</v>
      </c>
      <c r="I75" s="1387">
        <f>H75/H86</f>
        <v>0.05738631687426029</v>
      </c>
      <c r="J75" s="1390">
        <f>H75/D75</f>
        <v>40.27657894736842</v>
      </c>
      <c r="K75" s="484"/>
      <c r="L75" s="485"/>
      <c r="M75" s="485"/>
      <c r="N75" s="485">
        <v>224</v>
      </c>
      <c r="O75" s="487">
        <v>754</v>
      </c>
      <c r="P75" s="488"/>
      <c r="Q75" s="489"/>
      <c r="R75" s="484">
        <v>473</v>
      </c>
      <c r="S75" s="484"/>
      <c r="T75" s="487">
        <v>9</v>
      </c>
      <c r="U75" s="506"/>
      <c r="V75" s="489"/>
      <c r="W75" s="490">
        <v>324</v>
      </c>
      <c r="X75" s="484">
        <v>499</v>
      </c>
      <c r="Y75" s="485">
        <v>172</v>
      </c>
      <c r="Z75" s="485"/>
      <c r="AA75" s="487"/>
      <c r="AB75" s="489">
        <v>833</v>
      </c>
      <c r="AC75" s="241"/>
    </row>
    <row r="76" spans="1:29" ht="12.75">
      <c r="A76" s="5"/>
      <c r="B76" s="1426"/>
      <c r="C76" s="1427"/>
      <c r="D76" s="1430"/>
      <c r="E76" s="1419"/>
      <c r="F76" s="1416"/>
      <c r="G76" s="1419"/>
      <c r="H76" s="1422"/>
      <c r="I76" s="1388"/>
      <c r="J76" s="1391"/>
      <c r="K76" s="523"/>
      <c r="L76" s="524"/>
      <c r="M76" s="524"/>
      <c r="N76" s="524">
        <v>212</v>
      </c>
      <c r="O76" s="525"/>
      <c r="P76" s="526"/>
      <c r="Q76" s="527"/>
      <c r="R76" s="523">
        <v>777</v>
      </c>
      <c r="S76" s="523"/>
      <c r="T76" s="525"/>
      <c r="U76" s="551"/>
      <c r="V76" s="527"/>
      <c r="W76" s="528">
        <v>342</v>
      </c>
      <c r="X76" s="523"/>
      <c r="Y76" s="524"/>
      <c r="Z76" s="524"/>
      <c r="AA76" s="525"/>
      <c r="AB76" s="527">
        <v>973</v>
      </c>
      <c r="AC76" s="241"/>
    </row>
    <row r="77" spans="1:29" ht="12.75">
      <c r="A77" s="5"/>
      <c r="B77" s="1426"/>
      <c r="C77" s="1427"/>
      <c r="D77" s="1430"/>
      <c r="E77" s="1419"/>
      <c r="F77" s="1416"/>
      <c r="G77" s="1419"/>
      <c r="H77" s="1422"/>
      <c r="I77" s="1388"/>
      <c r="J77" s="1391"/>
      <c r="K77" s="523"/>
      <c r="L77" s="524"/>
      <c r="M77" s="524"/>
      <c r="N77" s="524">
        <v>535</v>
      </c>
      <c r="O77" s="525"/>
      <c r="P77" s="526"/>
      <c r="Q77" s="527"/>
      <c r="R77" s="523"/>
      <c r="S77" s="523"/>
      <c r="T77" s="525"/>
      <c r="U77" s="551"/>
      <c r="V77" s="527"/>
      <c r="W77" s="528">
        <v>800</v>
      </c>
      <c r="X77" s="523"/>
      <c r="Y77" s="524"/>
      <c r="Z77" s="524"/>
      <c r="AA77" s="525"/>
      <c r="AB77" s="527"/>
      <c r="AC77" s="241"/>
    </row>
    <row r="78" spans="1:29" ht="12.75">
      <c r="A78" s="5"/>
      <c r="B78" s="1426"/>
      <c r="C78" s="1427"/>
      <c r="D78" s="1430"/>
      <c r="E78" s="1419"/>
      <c r="F78" s="1416"/>
      <c r="G78" s="1419"/>
      <c r="H78" s="1422"/>
      <c r="I78" s="1388"/>
      <c r="J78" s="1391"/>
      <c r="K78" s="523"/>
      <c r="L78" s="524"/>
      <c r="M78" s="524"/>
      <c r="N78" s="524">
        <v>317</v>
      </c>
      <c r="O78" s="525"/>
      <c r="P78" s="526"/>
      <c r="Q78" s="527"/>
      <c r="R78" s="523"/>
      <c r="S78" s="523"/>
      <c r="T78" s="525"/>
      <c r="U78" s="551"/>
      <c r="V78" s="527"/>
      <c r="W78" s="528"/>
      <c r="X78" s="523"/>
      <c r="Y78" s="524"/>
      <c r="Z78" s="524"/>
      <c r="AA78" s="525"/>
      <c r="AB78" s="527"/>
      <c r="AC78" s="241"/>
    </row>
    <row r="79" spans="1:29" ht="12.75">
      <c r="A79" s="5"/>
      <c r="B79" s="1426"/>
      <c r="C79" s="1427"/>
      <c r="D79" s="1430"/>
      <c r="E79" s="1419"/>
      <c r="F79" s="1416"/>
      <c r="G79" s="1419"/>
      <c r="H79" s="1422"/>
      <c r="I79" s="1388"/>
      <c r="J79" s="1391"/>
      <c r="K79" s="523"/>
      <c r="L79" s="524"/>
      <c r="M79" s="524"/>
      <c r="N79" s="524">
        <v>915</v>
      </c>
      <c r="O79" s="525"/>
      <c r="P79" s="526"/>
      <c r="Q79" s="527"/>
      <c r="R79" s="523"/>
      <c r="S79" s="523"/>
      <c r="T79" s="525"/>
      <c r="U79" s="551"/>
      <c r="V79" s="527"/>
      <c r="W79" s="528"/>
      <c r="X79" s="523"/>
      <c r="Y79" s="524"/>
      <c r="Z79" s="524"/>
      <c r="AA79" s="525"/>
      <c r="AB79" s="527"/>
      <c r="AC79" s="241"/>
    </row>
    <row r="80" spans="1:29" ht="13.5" thickBot="1">
      <c r="A80" s="5"/>
      <c r="B80" s="1428"/>
      <c r="C80" s="1429"/>
      <c r="D80" s="1431"/>
      <c r="E80" s="1420"/>
      <c r="F80" s="1416"/>
      <c r="G80" s="1419"/>
      <c r="H80" s="1422"/>
      <c r="I80" s="1388"/>
      <c r="J80" s="1391"/>
      <c r="K80" s="514"/>
      <c r="L80" s="516"/>
      <c r="M80" s="516"/>
      <c r="N80" s="516"/>
      <c r="O80" s="511"/>
      <c r="P80" s="512"/>
      <c r="Q80" s="513"/>
      <c r="R80" s="514"/>
      <c r="S80" s="514"/>
      <c r="T80" s="511"/>
      <c r="U80" s="508"/>
      <c r="V80" s="513"/>
      <c r="W80" s="515"/>
      <c r="X80" s="514"/>
      <c r="Y80" s="516"/>
      <c r="Z80" s="516"/>
      <c r="AA80" s="511"/>
      <c r="AB80" s="513"/>
      <c r="AC80" s="241"/>
    </row>
    <row r="81" spans="1:28" s="6" customFormat="1" ht="13.5" customHeight="1">
      <c r="A81" s="1"/>
      <c r="B81" s="1399" t="s">
        <v>160</v>
      </c>
      <c r="C81" s="1400"/>
      <c r="D81" s="1407">
        <v>84</v>
      </c>
      <c r="E81" s="1411">
        <f>D81/$D$86</f>
        <v>0.1037037037037037</v>
      </c>
      <c r="F81" s="1415">
        <v>11</v>
      </c>
      <c r="G81" s="1418">
        <f>F81/D81</f>
        <v>0.13095238095238096</v>
      </c>
      <c r="H81" s="1421">
        <f>(2*L5)+(1*M5)+(2*N5)+(1*W5)+(3*Y5)+(2*AB5)</f>
        <v>2331.87</v>
      </c>
      <c r="I81" s="1387">
        <f>H81/H86</f>
        <v>0.04371661430816569</v>
      </c>
      <c r="J81" s="1390">
        <f>H81/D81</f>
        <v>27.760357142857142</v>
      </c>
      <c r="K81" s="484"/>
      <c r="L81" s="485">
        <v>170</v>
      </c>
      <c r="M81" s="485">
        <v>37</v>
      </c>
      <c r="N81" s="485">
        <v>749</v>
      </c>
      <c r="O81" s="487"/>
      <c r="P81" s="488"/>
      <c r="Q81" s="489"/>
      <c r="R81" s="484"/>
      <c r="S81" s="484"/>
      <c r="T81" s="487"/>
      <c r="U81" s="506"/>
      <c r="V81" s="489"/>
      <c r="W81" s="531">
        <v>196</v>
      </c>
      <c r="X81" s="506"/>
      <c r="Y81" s="485">
        <v>978</v>
      </c>
      <c r="Z81" s="485"/>
      <c r="AA81" s="487"/>
      <c r="AB81" s="489">
        <v>225</v>
      </c>
    </row>
    <row r="82" spans="1:28" s="6" customFormat="1" ht="12.75">
      <c r="A82" s="1"/>
      <c r="B82" s="1401"/>
      <c r="C82" s="1402"/>
      <c r="D82" s="1408"/>
      <c r="E82" s="1412"/>
      <c r="F82" s="1416"/>
      <c r="G82" s="1419"/>
      <c r="H82" s="1422"/>
      <c r="I82" s="1388"/>
      <c r="J82" s="1391"/>
      <c r="K82" s="514"/>
      <c r="L82" s="516">
        <v>1527</v>
      </c>
      <c r="M82" s="516"/>
      <c r="N82" s="516">
        <v>414</v>
      </c>
      <c r="O82" s="511"/>
      <c r="P82" s="512"/>
      <c r="Q82" s="513"/>
      <c r="R82" s="514"/>
      <c r="S82" s="514"/>
      <c r="T82" s="511"/>
      <c r="U82" s="508"/>
      <c r="V82" s="513"/>
      <c r="W82" s="533"/>
      <c r="X82" s="508"/>
      <c r="Y82" s="516">
        <v>979</v>
      </c>
      <c r="Z82" s="516"/>
      <c r="AA82" s="511"/>
      <c r="AB82" s="513">
        <v>910</v>
      </c>
    </row>
    <row r="83" spans="1:28" s="6" customFormat="1" ht="12.75">
      <c r="A83" s="1"/>
      <c r="B83" s="1401"/>
      <c r="C83" s="1402"/>
      <c r="D83" s="1408"/>
      <c r="E83" s="1412"/>
      <c r="F83" s="1416"/>
      <c r="G83" s="1419"/>
      <c r="H83" s="1422"/>
      <c r="I83" s="1388"/>
      <c r="J83" s="1391"/>
      <c r="K83" s="514"/>
      <c r="L83" s="516"/>
      <c r="M83" s="516"/>
      <c r="N83" s="516"/>
      <c r="O83" s="511"/>
      <c r="P83" s="512"/>
      <c r="Q83" s="513"/>
      <c r="R83" s="514"/>
      <c r="S83" s="514"/>
      <c r="T83" s="511"/>
      <c r="U83" s="508"/>
      <c r="V83" s="513"/>
      <c r="W83" s="533"/>
      <c r="X83" s="508"/>
      <c r="Y83" s="516">
        <v>606</v>
      </c>
      <c r="Z83" s="516"/>
      <c r="AA83" s="511"/>
      <c r="AB83" s="513"/>
    </row>
    <row r="84" spans="1:28" s="6" customFormat="1" ht="13.5" thickBot="1">
      <c r="A84" s="1"/>
      <c r="B84" s="1405"/>
      <c r="C84" s="1406"/>
      <c r="D84" s="1410"/>
      <c r="E84" s="1414"/>
      <c r="F84" s="1417"/>
      <c r="G84" s="1420"/>
      <c r="H84" s="1423"/>
      <c r="I84" s="1389"/>
      <c r="J84" s="1392"/>
      <c r="K84" s="498"/>
      <c r="L84" s="505"/>
      <c r="M84" s="505"/>
      <c r="N84" s="505"/>
      <c r="O84" s="501"/>
      <c r="P84" s="502"/>
      <c r="Q84" s="503"/>
      <c r="R84" s="498"/>
      <c r="S84" s="498"/>
      <c r="T84" s="501"/>
      <c r="U84" s="538"/>
      <c r="V84" s="503"/>
      <c r="W84" s="554"/>
      <c r="X84" s="538"/>
      <c r="Y84" s="505"/>
      <c r="Z84" s="505"/>
      <c r="AA84" s="501"/>
      <c r="AB84" s="503"/>
    </row>
    <row r="85" spans="1:28" ht="25.5" customHeight="1" thickBot="1">
      <c r="A85" s="5"/>
      <c r="B85" s="1393" t="s">
        <v>45</v>
      </c>
      <c r="C85" s="1394"/>
      <c r="D85" s="555"/>
      <c r="E85" s="556"/>
      <c r="F85" s="555"/>
      <c r="G85" s="556"/>
      <c r="H85" s="557"/>
      <c r="I85" s="558"/>
      <c r="J85" s="558"/>
      <c r="K85" s="559">
        <v>18</v>
      </c>
      <c r="L85" s="560">
        <v>5</v>
      </c>
      <c r="M85" s="560">
        <v>14</v>
      </c>
      <c r="N85" s="560">
        <v>34</v>
      </c>
      <c r="O85" s="561">
        <v>14</v>
      </c>
      <c r="P85" s="562">
        <v>6</v>
      </c>
      <c r="Q85" s="563">
        <v>10</v>
      </c>
      <c r="R85" s="559">
        <v>10</v>
      </c>
      <c r="S85" s="559">
        <v>5</v>
      </c>
      <c r="T85" s="560">
        <v>12</v>
      </c>
      <c r="U85" s="559">
        <v>5</v>
      </c>
      <c r="V85" s="561">
        <v>0</v>
      </c>
      <c r="W85" s="564">
        <v>17</v>
      </c>
      <c r="X85" s="559">
        <v>3</v>
      </c>
      <c r="Y85" s="560">
        <v>25</v>
      </c>
      <c r="Z85" s="560">
        <v>2</v>
      </c>
      <c r="AA85" s="561">
        <v>0</v>
      </c>
      <c r="AB85" s="563">
        <v>12</v>
      </c>
    </row>
    <row r="86" spans="1:28" ht="26.25" customHeight="1" thickBot="1" thickTop="1">
      <c r="A86" s="5"/>
      <c r="B86" s="1395" t="s">
        <v>161</v>
      </c>
      <c r="C86" s="1396"/>
      <c r="D86" s="565">
        <f>SUM(D6:D84)</f>
        <v>810</v>
      </c>
      <c r="E86" s="566"/>
      <c r="F86" s="565">
        <f>SUM(F6:F84)</f>
        <v>192</v>
      </c>
      <c r="G86" s="567">
        <f>F86/D86</f>
        <v>0.23703703703703705</v>
      </c>
      <c r="H86" s="568">
        <f>SUM(H6:H84)</f>
        <v>53340.590000000004</v>
      </c>
      <c r="I86" s="569"/>
      <c r="J86" s="570"/>
      <c r="K86" s="571">
        <f aca="true" t="shared" si="0" ref="K86:AB86">K5*K85</f>
        <v>6170.400000000001</v>
      </c>
      <c r="L86" s="571">
        <f t="shared" si="0"/>
        <v>1186.9499999999998</v>
      </c>
      <c r="M86" s="571">
        <f t="shared" si="0"/>
        <v>2458.96</v>
      </c>
      <c r="N86" s="571">
        <f t="shared" si="0"/>
        <v>9485.66</v>
      </c>
      <c r="O86" s="571">
        <f t="shared" si="0"/>
        <v>3702.7200000000003</v>
      </c>
      <c r="P86" s="571">
        <f t="shared" si="0"/>
        <v>5154.9</v>
      </c>
      <c r="Q86" s="571">
        <f t="shared" si="0"/>
        <v>8930</v>
      </c>
      <c r="R86" s="571">
        <f t="shared" si="0"/>
        <v>1049</v>
      </c>
      <c r="S86" s="571">
        <f t="shared" si="0"/>
        <v>701.4</v>
      </c>
      <c r="T86" s="571">
        <f t="shared" si="0"/>
        <v>4273.200000000001</v>
      </c>
      <c r="U86" s="571">
        <f t="shared" si="0"/>
        <v>566.25</v>
      </c>
      <c r="V86" s="571">
        <f t="shared" si="0"/>
        <v>0</v>
      </c>
      <c r="W86" s="571">
        <f t="shared" si="0"/>
        <v>390.15</v>
      </c>
      <c r="X86" s="571">
        <f t="shared" si="0"/>
        <v>900</v>
      </c>
      <c r="Y86" s="571">
        <f t="shared" si="0"/>
        <v>4171</v>
      </c>
      <c r="Z86" s="571">
        <f t="shared" si="0"/>
        <v>600</v>
      </c>
      <c r="AA86" s="571">
        <f t="shared" si="0"/>
        <v>0</v>
      </c>
      <c r="AB86" s="593">
        <f t="shared" si="0"/>
        <v>3600</v>
      </c>
    </row>
    <row r="87" spans="2:28" ht="15" customHeight="1" thickBot="1" thickTop="1">
      <c r="B87" s="572"/>
      <c r="C87" s="572"/>
      <c r="D87" s="572"/>
      <c r="E87" s="572"/>
      <c r="F87" s="572"/>
      <c r="G87" s="573"/>
      <c r="H87" s="572"/>
      <c r="I87" s="573"/>
      <c r="J87" s="573"/>
      <c r="K87" s="572"/>
      <c r="L87" s="572"/>
      <c r="M87" s="572"/>
      <c r="N87" s="572"/>
      <c r="O87" s="572"/>
      <c r="P87" s="572"/>
      <c r="Q87" s="572"/>
      <c r="R87" s="572"/>
      <c r="S87" s="572"/>
      <c r="T87" s="572"/>
      <c r="U87" s="572"/>
      <c r="V87" s="572"/>
      <c r="W87" s="572"/>
      <c r="X87" s="572"/>
      <c r="Y87" s="572"/>
      <c r="Z87" s="572"/>
      <c r="AA87" s="572"/>
      <c r="AB87" s="572"/>
    </row>
    <row r="88" spans="2:28" ht="22.5" thickBot="1" thickTop="1">
      <c r="B88" s="1397" t="s">
        <v>58</v>
      </c>
      <c r="C88" s="1398"/>
      <c r="D88" s="1398"/>
      <c r="E88" s="1398"/>
      <c r="F88" s="1398"/>
      <c r="G88" s="1398"/>
      <c r="H88" s="1398"/>
      <c r="I88" s="1398"/>
      <c r="J88" s="1398"/>
      <c r="K88" s="1398"/>
      <c r="L88" s="1398"/>
      <c r="M88" s="574">
        <f>SUM(F6:F84)</f>
        <v>192</v>
      </c>
      <c r="N88" s="575"/>
      <c r="O88" s="576"/>
      <c r="P88" s="576"/>
      <c r="Q88" s="576"/>
      <c r="R88" s="576"/>
      <c r="S88" s="576"/>
      <c r="T88" s="576"/>
      <c r="U88" s="576"/>
      <c r="V88" s="576"/>
      <c r="W88" s="576"/>
      <c r="X88" s="576"/>
      <c r="Y88" s="578"/>
      <c r="Z88" s="576"/>
      <c r="AA88" s="576"/>
      <c r="AB88" s="576"/>
    </row>
    <row r="89" ht="13.5" thickTop="1"/>
  </sheetData>
  <sheetProtection/>
  <mergeCells count="196">
    <mergeCell ref="B2:C3"/>
    <mergeCell ref="D2:D3"/>
    <mergeCell ref="E2:E3"/>
    <mergeCell ref="F2:F3"/>
    <mergeCell ref="G2:G3"/>
    <mergeCell ref="H2:H3"/>
    <mergeCell ref="I2:I3"/>
    <mergeCell ref="J2:J3"/>
    <mergeCell ref="K2:O2"/>
    <mergeCell ref="P2:Q2"/>
    <mergeCell ref="R2:T2"/>
    <mergeCell ref="U2:V2"/>
    <mergeCell ref="W2:W3"/>
    <mergeCell ref="X2:AB2"/>
    <mergeCell ref="B4:C4"/>
    <mergeCell ref="B5:C5"/>
    <mergeCell ref="B6:C8"/>
    <mergeCell ref="D6:D8"/>
    <mergeCell ref="E6:E8"/>
    <mergeCell ref="F6:F8"/>
    <mergeCell ref="G6:G8"/>
    <mergeCell ref="H6:H8"/>
    <mergeCell ref="I6:I8"/>
    <mergeCell ref="J6:J8"/>
    <mergeCell ref="B9:C11"/>
    <mergeCell ref="D9:D11"/>
    <mergeCell ref="E9:E11"/>
    <mergeCell ref="F9:F11"/>
    <mergeCell ref="G9:G11"/>
    <mergeCell ref="H9:H11"/>
    <mergeCell ref="I9:I11"/>
    <mergeCell ref="J9:J11"/>
    <mergeCell ref="B12:C16"/>
    <mergeCell ref="D12:D16"/>
    <mergeCell ref="E12:E16"/>
    <mergeCell ref="F12:F16"/>
    <mergeCell ref="G12:G16"/>
    <mergeCell ref="H12:H16"/>
    <mergeCell ref="I12:I16"/>
    <mergeCell ref="J12:J16"/>
    <mergeCell ref="B17:C19"/>
    <mergeCell ref="D17:D19"/>
    <mergeCell ref="E17:E19"/>
    <mergeCell ref="F17:F19"/>
    <mergeCell ref="G17:G19"/>
    <mergeCell ref="H17:H19"/>
    <mergeCell ref="I17:I19"/>
    <mergeCell ref="J17:J19"/>
    <mergeCell ref="B20:C22"/>
    <mergeCell ref="D20:D22"/>
    <mergeCell ref="E20:E22"/>
    <mergeCell ref="F20:F22"/>
    <mergeCell ref="G20:G22"/>
    <mergeCell ref="H20:H22"/>
    <mergeCell ref="I20:I22"/>
    <mergeCell ref="J20:J22"/>
    <mergeCell ref="B23:C26"/>
    <mergeCell ref="D23:D26"/>
    <mergeCell ref="E23:E26"/>
    <mergeCell ref="F23:F26"/>
    <mergeCell ref="G23:G26"/>
    <mergeCell ref="H23:H26"/>
    <mergeCell ref="I23:I26"/>
    <mergeCell ref="J23:J26"/>
    <mergeCell ref="B27:C30"/>
    <mergeCell ref="D27:D30"/>
    <mergeCell ref="E27:E30"/>
    <mergeCell ref="F27:F30"/>
    <mergeCell ref="G27:G30"/>
    <mergeCell ref="H27:H30"/>
    <mergeCell ref="I27:I30"/>
    <mergeCell ref="J27:J30"/>
    <mergeCell ref="AC27:AC30"/>
    <mergeCell ref="B31:C32"/>
    <mergeCell ref="D31:D32"/>
    <mergeCell ref="E31:E32"/>
    <mergeCell ref="F31:F32"/>
    <mergeCell ref="G31:G32"/>
    <mergeCell ref="H31:H32"/>
    <mergeCell ref="I31:I32"/>
    <mergeCell ref="J31:J32"/>
    <mergeCell ref="B33:C34"/>
    <mergeCell ref="D33:D34"/>
    <mergeCell ref="E33:E34"/>
    <mergeCell ref="F33:F34"/>
    <mergeCell ref="G33:G34"/>
    <mergeCell ref="H33:H34"/>
    <mergeCell ref="I33:I34"/>
    <mergeCell ref="J33:J34"/>
    <mergeCell ref="B35:C38"/>
    <mergeCell ref="D35:D38"/>
    <mergeCell ref="E35:E38"/>
    <mergeCell ref="F35:F38"/>
    <mergeCell ref="G35:G38"/>
    <mergeCell ref="H35:H38"/>
    <mergeCell ref="I35:I38"/>
    <mergeCell ref="J35:J38"/>
    <mergeCell ref="B39:C41"/>
    <mergeCell ref="D39:D41"/>
    <mergeCell ref="E39:E41"/>
    <mergeCell ref="F39:F41"/>
    <mergeCell ref="G39:G41"/>
    <mergeCell ref="H39:H41"/>
    <mergeCell ref="I39:I41"/>
    <mergeCell ref="J39:J41"/>
    <mergeCell ref="B42:C45"/>
    <mergeCell ref="D42:D45"/>
    <mergeCell ref="E42:E45"/>
    <mergeCell ref="F42:F45"/>
    <mergeCell ref="G42:G45"/>
    <mergeCell ref="H42:H45"/>
    <mergeCell ref="I42:I45"/>
    <mergeCell ref="J42:J45"/>
    <mergeCell ref="B46:C50"/>
    <mergeCell ref="D46:D50"/>
    <mergeCell ref="E46:E50"/>
    <mergeCell ref="F46:F50"/>
    <mergeCell ref="G46:G50"/>
    <mergeCell ref="H46:H50"/>
    <mergeCell ref="I46:I50"/>
    <mergeCell ref="J46:J50"/>
    <mergeCell ref="B51:C54"/>
    <mergeCell ref="D51:D54"/>
    <mergeCell ref="E51:E54"/>
    <mergeCell ref="F51:F54"/>
    <mergeCell ref="G51:G54"/>
    <mergeCell ref="H51:H54"/>
    <mergeCell ref="I51:I54"/>
    <mergeCell ref="J51:J54"/>
    <mergeCell ref="B55:C56"/>
    <mergeCell ref="D55:D56"/>
    <mergeCell ref="E55:E56"/>
    <mergeCell ref="F55:F56"/>
    <mergeCell ref="G55:G56"/>
    <mergeCell ref="H55:H56"/>
    <mergeCell ref="I55:I56"/>
    <mergeCell ref="J55:J56"/>
    <mergeCell ref="B57:C58"/>
    <mergeCell ref="D57:D58"/>
    <mergeCell ref="E57:E58"/>
    <mergeCell ref="F57:F58"/>
    <mergeCell ref="G57:G58"/>
    <mergeCell ref="H57:H58"/>
    <mergeCell ref="I57:I58"/>
    <mergeCell ref="J57:J58"/>
    <mergeCell ref="B59:C62"/>
    <mergeCell ref="D59:D62"/>
    <mergeCell ref="E59:E62"/>
    <mergeCell ref="F59:F62"/>
    <mergeCell ref="G59:G62"/>
    <mergeCell ref="H59:H62"/>
    <mergeCell ref="I59:I62"/>
    <mergeCell ref="J59:J62"/>
    <mergeCell ref="B63:C66"/>
    <mergeCell ref="D63:D66"/>
    <mergeCell ref="E63:E66"/>
    <mergeCell ref="F63:F66"/>
    <mergeCell ref="G63:G66"/>
    <mergeCell ref="H63:H66"/>
    <mergeCell ref="I63:I66"/>
    <mergeCell ref="J63:J66"/>
    <mergeCell ref="B67:C69"/>
    <mergeCell ref="D67:D69"/>
    <mergeCell ref="E67:E69"/>
    <mergeCell ref="F67:F69"/>
    <mergeCell ref="G67:G69"/>
    <mergeCell ref="H67:H69"/>
    <mergeCell ref="I67:I69"/>
    <mergeCell ref="J67:J69"/>
    <mergeCell ref="J75:J80"/>
    <mergeCell ref="B70:C74"/>
    <mergeCell ref="D70:D74"/>
    <mergeCell ref="E70:E74"/>
    <mergeCell ref="F70:F74"/>
    <mergeCell ref="G70:G74"/>
    <mergeCell ref="H70:H74"/>
    <mergeCell ref="H81:H84"/>
    <mergeCell ref="I70:I74"/>
    <mergeCell ref="J70:J74"/>
    <mergeCell ref="B75:C80"/>
    <mergeCell ref="D75:D80"/>
    <mergeCell ref="E75:E80"/>
    <mergeCell ref="F75:F80"/>
    <mergeCell ref="G75:G80"/>
    <mergeCell ref="H75:H80"/>
    <mergeCell ref="I75:I80"/>
    <mergeCell ref="I81:I84"/>
    <mergeCell ref="J81:J84"/>
    <mergeCell ref="B85:C85"/>
    <mergeCell ref="B86:C86"/>
    <mergeCell ref="B88:L88"/>
    <mergeCell ref="B81:C84"/>
    <mergeCell ref="D81:D84"/>
    <mergeCell ref="E81:E84"/>
    <mergeCell ref="F81:F84"/>
    <mergeCell ref="G81:G84"/>
  </mergeCells>
  <printOptions/>
  <pageMargins left="0.47" right="0.2" top="0.16" bottom="0.31" header="0.28" footer="0.31"/>
  <pageSetup horizontalDpi="600" verticalDpi="600" orientation="landscape" paperSize="8" scale="58"/>
  <headerFooter alignWithMargins="0">
    <oddFooter>&amp;C&amp;D&amp;R&amp;"Calibri,Gras"&amp;12DOTATIONS MATERIELS CLUBS 2013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F90"/>
  <sheetViews>
    <sheetView showGridLines="0" zoomScalePageLayoutView="0" workbookViewId="0" topLeftCell="A1">
      <pane ySplit="5" topLeftCell="A42" activePane="bottomLeft" state="frozen"/>
      <selection pane="topLeft" activeCell="K1" sqref="K1"/>
      <selection pane="bottomLeft" activeCell="K95" sqref="K95"/>
    </sheetView>
  </sheetViews>
  <sheetFormatPr defaultColWidth="11.421875" defaultRowHeight="12.75"/>
  <cols>
    <col min="1" max="1" width="2.421875" style="0" customWidth="1"/>
    <col min="2" max="2" width="12.7109375" style="0" customWidth="1"/>
    <col min="3" max="3" width="10.00390625" style="0" customWidth="1"/>
    <col min="4" max="4" width="9.28125" style="188" customWidth="1"/>
    <col min="5" max="5" width="10.421875" style="188" bestFit="1" customWidth="1"/>
    <col min="6" max="6" width="7.8515625" style="188" bestFit="1" customWidth="1"/>
    <col min="7" max="7" width="11.8515625" style="418" bestFit="1" customWidth="1"/>
    <col min="8" max="8" width="11.00390625" style="188" bestFit="1" customWidth="1"/>
    <col min="9" max="9" width="10.28125" style="418" bestFit="1" customWidth="1"/>
    <col min="10" max="10" width="9.00390625" style="418" bestFit="1" customWidth="1"/>
    <col min="11" max="11" width="16.140625" style="10" bestFit="1" customWidth="1"/>
    <col min="12" max="12" width="11.140625" style="10" bestFit="1" customWidth="1"/>
    <col min="13" max="13" width="11.00390625" style="10" bestFit="1" customWidth="1"/>
    <col min="14" max="14" width="11.00390625" style="10" customWidth="1"/>
    <col min="15" max="15" width="15.8515625" style="10" customWidth="1"/>
    <col min="16" max="16" width="15.7109375" style="10" bestFit="1" customWidth="1"/>
    <col min="17" max="17" width="11.7109375" style="10" bestFit="1" customWidth="1"/>
    <col min="18" max="18" width="12.421875" style="10" bestFit="1" customWidth="1"/>
    <col min="19" max="19" width="12.421875" style="10" customWidth="1"/>
    <col min="20" max="20" width="11.140625" style="10" bestFit="1" customWidth="1"/>
    <col min="21" max="21" width="11.140625" style="10" customWidth="1"/>
    <col min="22" max="22" width="13.7109375" style="10" bestFit="1" customWidth="1"/>
    <col min="23" max="23" width="11.28125" style="10" customWidth="1"/>
    <col min="24" max="24" width="10.8515625" style="10" customWidth="1"/>
    <col min="25" max="25" width="9.421875" style="10" bestFit="1" customWidth="1"/>
    <col min="26" max="26" width="10.28125" style="10" bestFit="1" customWidth="1"/>
    <col min="27" max="27" width="11.140625" style="192" bestFit="1" customWidth="1"/>
    <col min="28" max="28" width="9.28125" style="10" bestFit="1" customWidth="1"/>
    <col min="29" max="29" width="8.00390625" style="10" customWidth="1"/>
    <col min="30" max="30" width="14.421875" style="10" bestFit="1" customWidth="1"/>
  </cols>
  <sheetData>
    <row r="1" spans="2:10" ht="16.5" thickBot="1">
      <c r="B1" s="5"/>
      <c r="C1" s="5"/>
      <c r="D1" s="184"/>
      <c r="E1" s="184"/>
      <c r="F1" s="184"/>
      <c r="G1" s="286"/>
      <c r="H1" s="184"/>
      <c r="I1" s="286"/>
      <c r="J1" s="419"/>
    </row>
    <row r="2" spans="1:30" ht="29.25" customHeight="1" thickBot="1">
      <c r="A2" s="5"/>
      <c r="B2" s="1520" t="s">
        <v>21</v>
      </c>
      <c r="C2" s="1521"/>
      <c r="D2" s="1524" t="s">
        <v>201</v>
      </c>
      <c r="E2" s="1512" t="s">
        <v>120</v>
      </c>
      <c r="F2" s="1527" t="s">
        <v>121</v>
      </c>
      <c r="G2" s="1512" t="s">
        <v>122</v>
      </c>
      <c r="H2" s="1524" t="s">
        <v>123</v>
      </c>
      <c r="I2" s="1512" t="s">
        <v>124</v>
      </c>
      <c r="J2" s="1514" t="s">
        <v>163</v>
      </c>
      <c r="K2" s="1516" t="s">
        <v>0</v>
      </c>
      <c r="L2" s="1517"/>
      <c r="M2" s="1517"/>
      <c r="N2" s="1517"/>
      <c r="O2" s="1517"/>
      <c r="P2" s="1517"/>
      <c r="Q2" s="632"/>
      <c r="R2" s="1442" t="s">
        <v>125</v>
      </c>
      <c r="S2" s="1518"/>
      <c r="T2" s="1500" t="s">
        <v>1</v>
      </c>
      <c r="U2" s="1500"/>
      <c r="V2" s="1519"/>
      <c r="W2" s="1531" t="s">
        <v>2</v>
      </c>
      <c r="X2" s="1502"/>
      <c r="Y2" s="1498" t="s">
        <v>126</v>
      </c>
      <c r="Z2" s="1500" t="s">
        <v>3</v>
      </c>
      <c r="AA2" s="1501"/>
      <c r="AB2" s="1501"/>
      <c r="AC2" s="1519"/>
      <c r="AD2" s="1502"/>
    </row>
    <row r="3" spans="1:32" ht="66.75" customHeight="1" thickBot="1">
      <c r="A3" s="193"/>
      <c r="B3" s="1522"/>
      <c r="C3" s="1523"/>
      <c r="D3" s="1525"/>
      <c r="E3" s="1526"/>
      <c r="F3" s="1528"/>
      <c r="G3" s="1526"/>
      <c r="H3" s="1525"/>
      <c r="I3" s="1513"/>
      <c r="J3" s="1515"/>
      <c r="K3" s="452" t="s">
        <v>4</v>
      </c>
      <c r="L3" s="609" t="s">
        <v>127</v>
      </c>
      <c r="M3" s="609" t="s">
        <v>189</v>
      </c>
      <c r="N3" s="609" t="s">
        <v>208</v>
      </c>
      <c r="O3" s="609" t="s">
        <v>175</v>
      </c>
      <c r="P3" s="610" t="s">
        <v>190</v>
      </c>
      <c r="Q3" s="579" t="s">
        <v>207</v>
      </c>
      <c r="R3" s="633" t="s">
        <v>176</v>
      </c>
      <c r="S3" s="456" t="s">
        <v>177</v>
      </c>
      <c r="T3" s="457" t="s">
        <v>11</v>
      </c>
      <c r="U3" s="459" t="s">
        <v>13</v>
      </c>
      <c r="V3" s="459" t="s">
        <v>178</v>
      </c>
      <c r="W3" s="452" t="s">
        <v>209</v>
      </c>
      <c r="X3" s="458" t="s">
        <v>15</v>
      </c>
      <c r="Y3" s="1499"/>
      <c r="Z3" s="457" t="s">
        <v>17</v>
      </c>
      <c r="AA3" s="460" t="s">
        <v>18</v>
      </c>
      <c r="AB3" s="609" t="s">
        <v>19</v>
      </c>
      <c r="AC3" s="454" t="s">
        <v>191</v>
      </c>
      <c r="AD3" s="461" t="s">
        <v>20</v>
      </c>
      <c r="AE3" s="3"/>
      <c r="AF3" s="3"/>
    </row>
    <row r="4" spans="1:32" s="472" customFormat="1" ht="31.5" customHeight="1" thickBot="1">
      <c r="A4" s="241"/>
      <c r="B4" s="1503" t="s">
        <v>129</v>
      </c>
      <c r="C4" s="1504"/>
      <c r="D4" s="462"/>
      <c r="E4" s="463"/>
      <c r="F4" s="464"/>
      <c r="G4" s="465"/>
      <c r="H4" s="462"/>
      <c r="I4" s="465"/>
      <c r="J4" s="466"/>
      <c r="K4" s="457" t="s">
        <v>202</v>
      </c>
      <c r="L4" s="609" t="s">
        <v>203</v>
      </c>
      <c r="M4" s="609" t="s">
        <v>194</v>
      </c>
      <c r="N4" s="609" t="s">
        <v>54</v>
      </c>
      <c r="O4" s="609" t="s">
        <v>204</v>
      </c>
      <c r="P4" s="454" t="s">
        <v>196</v>
      </c>
      <c r="Q4" s="454" t="s">
        <v>134</v>
      </c>
      <c r="R4" s="462" t="s">
        <v>54</v>
      </c>
      <c r="S4" s="458" t="s">
        <v>54</v>
      </c>
      <c r="T4" s="467" t="s">
        <v>54</v>
      </c>
      <c r="U4" s="467" t="s">
        <v>168</v>
      </c>
      <c r="V4" s="580" t="s">
        <v>205</v>
      </c>
      <c r="W4" s="581" t="s">
        <v>136</v>
      </c>
      <c r="X4" s="458" t="s">
        <v>136</v>
      </c>
      <c r="Y4" s="469" t="s">
        <v>136</v>
      </c>
      <c r="Z4" s="467" t="s">
        <v>134</v>
      </c>
      <c r="AA4" s="470" t="s">
        <v>197</v>
      </c>
      <c r="AB4" s="471" t="s">
        <v>134</v>
      </c>
      <c r="AC4" s="459" t="s">
        <v>134</v>
      </c>
      <c r="AD4" s="458" t="s">
        <v>134</v>
      </c>
      <c r="AE4" s="3"/>
      <c r="AF4" s="3"/>
    </row>
    <row r="5" spans="1:32" ht="33.75" customHeight="1" thickBot="1">
      <c r="A5" s="193"/>
      <c r="B5" s="1532" t="s">
        <v>138</v>
      </c>
      <c r="C5" s="1533"/>
      <c r="D5" s="611"/>
      <c r="E5" s="612"/>
      <c r="F5" s="611"/>
      <c r="G5" s="613"/>
      <c r="H5" s="614"/>
      <c r="I5" s="615"/>
      <c r="J5" s="613"/>
      <c r="K5" s="616">
        <f>'[1]Catalogue dotations 2015'!E7</f>
        <v>379.31</v>
      </c>
      <c r="L5" s="617">
        <f>'[1]Catalogue dotations 2015'!E13</f>
        <v>257.27</v>
      </c>
      <c r="M5" s="617">
        <f>'[1]Catalogue dotations 2015'!E10</f>
        <v>191.64</v>
      </c>
      <c r="N5" s="617">
        <f>'[1]Catalogue dotations 2015'!E4</f>
        <v>69.6</v>
      </c>
      <c r="O5" s="617">
        <f>'[1]Catalogue dotations 2015'!E17</f>
        <v>333.15</v>
      </c>
      <c r="P5" s="618">
        <f>'[1]Catalogue dotations 2015'!E24</f>
        <v>264.33000000000004</v>
      </c>
      <c r="Q5" s="618">
        <f>'[1]Catalogue dotations 2015'!E22</f>
        <v>76.9</v>
      </c>
      <c r="R5" s="619">
        <f>'[1]Catalogue dotations 2015'!F26</f>
        <v>834</v>
      </c>
      <c r="S5" s="620">
        <f>'[1]Catalogue dotations 2015'!F28</f>
        <v>732</v>
      </c>
      <c r="T5" s="621">
        <f>'[1]Catalogue dotations 2015'!E30</f>
        <v>157.2</v>
      </c>
      <c r="U5" s="622">
        <f>'[1]Catalogue dotations 2015'!E34</f>
        <v>140.28</v>
      </c>
      <c r="V5" s="623">
        <f>'[1]Catalogue dotations 2015'!E33</f>
        <v>392.22</v>
      </c>
      <c r="W5" s="624">
        <f>'[1]Catalogue dotations 2015'!E35</f>
        <v>122.04</v>
      </c>
      <c r="X5" s="620">
        <f>'[1]Catalogue dotations 2015'!E36</f>
        <v>168</v>
      </c>
      <c r="Y5" s="625">
        <f>'[1]Catalogue dotations 2015'!E38</f>
        <v>152.64</v>
      </c>
      <c r="Z5" s="616">
        <v>300</v>
      </c>
      <c r="AA5" s="617">
        <f>'[1]Catalogue dotations 2015'!E37</f>
        <v>187.67</v>
      </c>
      <c r="AB5" s="617">
        <v>300</v>
      </c>
      <c r="AC5" s="618">
        <f>'[1]Catalogue dotations 2015'!E40</f>
        <v>13</v>
      </c>
      <c r="AD5" s="620">
        <v>300</v>
      </c>
      <c r="AE5" s="3"/>
      <c r="AF5" s="3"/>
    </row>
    <row r="6" spans="2:30" s="5" customFormat="1" ht="12.75">
      <c r="B6" s="1477" t="s">
        <v>139</v>
      </c>
      <c r="C6" s="1478"/>
      <c r="D6" s="1509">
        <v>15</v>
      </c>
      <c r="E6" s="1464">
        <f>D6/$D$88</f>
        <v>0.018226002430133656</v>
      </c>
      <c r="F6" s="1461">
        <f>COUNTA(K6:AD8)</f>
        <v>4</v>
      </c>
      <c r="G6" s="1464">
        <f>F6/D6</f>
        <v>0.26666666666666666</v>
      </c>
      <c r="H6" s="1467">
        <f>$K$5*COUNTA(K6:K8)+$L$5*COUNTA(L6:L8)+$M$5*COUNTA(M6:M8)+$O$5*COUNTA(O6:O8)+$P$5*COUNTA(P6:P8)+$Q$5*COUNTA(Q6:Q8)+$R$5*COUNTA(R6:R8)+$S$5*COUNTA(S6:S8)+$T$5*COUNTA(T6:T8)+$U$5*COUNTA(U6:U8)+$V$5*COUNTA(V6:V8)+$W$5*COUNTA(W6:W8)+$X$5*COUNTA(X6:X8)+$Y$5*COUNTA(Y6:Y8)+$Z$5*COUNTA(Z6:Z8)+$AA$5*COUNTA(AA6:AA8)+$AB$5*COUNTA(AB6:AB8)+$AC$5*COUNTA(AC6:AC8)+$AD$5*COUNTA(AD6:AD8)</f>
        <v>1345.61</v>
      </c>
      <c r="I6" s="1446">
        <f>H6/H88</f>
        <v>0.023778973118614946</v>
      </c>
      <c r="J6" s="1470">
        <f>H6/D6</f>
        <v>89.70733333333332</v>
      </c>
      <c r="K6" s="484">
        <v>246</v>
      </c>
      <c r="L6" s="485"/>
      <c r="M6" s="486"/>
      <c r="N6" s="486"/>
      <c r="O6" s="486">
        <v>1578</v>
      </c>
      <c r="P6" s="487"/>
      <c r="Q6" s="487"/>
      <c r="R6" s="488"/>
      <c r="S6" s="489"/>
      <c r="T6" s="484"/>
      <c r="U6" s="484"/>
      <c r="V6" s="582"/>
      <c r="W6" s="506"/>
      <c r="X6" s="489"/>
      <c r="Y6" s="490"/>
      <c r="Z6" s="484"/>
      <c r="AA6" s="485"/>
      <c r="AB6" s="485"/>
      <c r="AC6" s="487"/>
      <c r="AD6" s="489">
        <v>541</v>
      </c>
    </row>
    <row r="7" spans="2:30" s="5" customFormat="1" ht="12.75">
      <c r="B7" s="1507"/>
      <c r="C7" s="1508"/>
      <c r="D7" s="1510"/>
      <c r="E7" s="1465"/>
      <c r="F7" s="1462"/>
      <c r="G7" s="1465"/>
      <c r="H7" s="1468"/>
      <c r="I7" s="1447"/>
      <c r="J7" s="1471"/>
      <c r="K7" s="491"/>
      <c r="L7" s="492"/>
      <c r="M7" s="493"/>
      <c r="N7" s="493"/>
      <c r="O7" s="493">
        <v>11</v>
      </c>
      <c r="P7" s="494"/>
      <c r="Q7" s="494"/>
      <c r="R7" s="495"/>
      <c r="S7" s="496"/>
      <c r="T7" s="491"/>
      <c r="U7" s="491"/>
      <c r="V7" s="583"/>
      <c r="W7" s="584"/>
      <c r="X7" s="496"/>
      <c r="Y7" s="497"/>
      <c r="Z7" s="491"/>
      <c r="AA7" s="492"/>
      <c r="AB7" s="492"/>
      <c r="AC7" s="494"/>
      <c r="AD7" s="496"/>
    </row>
    <row r="8" spans="2:30" s="1" customFormat="1" ht="13.5" thickBot="1">
      <c r="B8" s="1479"/>
      <c r="C8" s="1480"/>
      <c r="D8" s="1511"/>
      <c r="E8" s="1466"/>
      <c r="F8" s="1463"/>
      <c r="G8" s="1466"/>
      <c r="H8" s="1469"/>
      <c r="I8" s="1448"/>
      <c r="J8" s="1472"/>
      <c r="K8" s="498"/>
      <c r="L8" s="499"/>
      <c r="M8" s="500"/>
      <c r="N8" s="500"/>
      <c r="O8" s="500"/>
      <c r="P8" s="501"/>
      <c r="Q8" s="501"/>
      <c r="R8" s="502"/>
      <c r="S8" s="503"/>
      <c r="T8" s="498"/>
      <c r="U8" s="498"/>
      <c r="V8" s="585"/>
      <c r="W8" s="538"/>
      <c r="X8" s="503"/>
      <c r="Y8" s="504"/>
      <c r="Z8" s="498"/>
      <c r="AA8" s="505"/>
      <c r="AB8" s="505"/>
      <c r="AC8" s="501"/>
      <c r="AD8" s="503"/>
    </row>
    <row r="9" spans="2:30" s="1" customFormat="1" ht="12.75">
      <c r="B9" s="1424" t="s">
        <v>140</v>
      </c>
      <c r="C9" s="1494"/>
      <c r="D9" s="1415">
        <v>36</v>
      </c>
      <c r="E9" s="1418">
        <f>D9/$D$88</f>
        <v>0.04374240583232078</v>
      </c>
      <c r="F9" s="1415">
        <f>COUNTA(K9:AD11)</f>
        <v>5</v>
      </c>
      <c r="G9" s="1418">
        <f>F9/D9</f>
        <v>0.1388888888888889</v>
      </c>
      <c r="H9" s="1467">
        <f>$K$5*COUNTA(K9:K11)+$L$5*COUNTA(L9:L11)+$M$5*COUNTA(M9:M11)+$O$5*COUNTA(O9:O11)+$P$5*COUNTA(P9:P11)+$Q$5*COUNTA(Q9:Q11)+$R$5*COUNTA(R9:R11)+$S$5*COUNTA(S9:S11)+$T$5*COUNTA(T9:T11)+$U$5*COUNTA(U9:U11)+$V$5*COUNTA(V9:V11)+$W$5*COUNTA(W9:W11)+$X$5*COUNTA(X9:X11)+Y5*COUNTA(Y9:Y11)+$Z$5*COUNTA(Z9:Z11)+$AA$5*COUNTA(AA9:AA11)+$AB$5*COUNTA(AB9:AB11)+$AC$5*COUNTA(AC9:AC11)+$AD$5*COUNTA(AD9:AD11)</f>
        <v>1300.29</v>
      </c>
      <c r="I9" s="1387">
        <f>H9/H88</f>
        <v>0.022978099862815994</v>
      </c>
      <c r="J9" s="1390">
        <f>H9/D9</f>
        <v>36.119166666666665</v>
      </c>
      <c r="K9" s="506"/>
      <c r="L9" s="507"/>
      <c r="M9" s="486">
        <v>741</v>
      </c>
      <c r="N9" s="486"/>
      <c r="O9" s="486">
        <v>316</v>
      </c>
      <c r="P9" s="487"/>
      <c r="Q9" s="487"/>
      <c r="R9" s="488"/>
      <c r="S9" s="489"/>
      <c r="T9" s="484"/>
      <c r="U9" s="484"/>
      <c r="V9" s="582"/>
      <c r="W9" s="506"/>
      <c r="X9" s="489"/>
      <c r="Y9" s="490"/>
      <c r="Z9" s="484"/>
      <c r="AA9" s="485"/>
      <c r="AB9" s="485"/>
      <c r="AC9" s="487"/>
      <c r="AD9" s="489"/>
    </row>
    <row r="10" spans="2:30" s="1" customFormat="1" ht="12.75">
      <c r="B10" s="1432"/>
      <c r="C10" s="1495"/>
      <c r="D10" s="1416"/>
      <c r="E10" s="1419"/>
      <c r="F10" s="1416"/>
      <c r="G10" s="1419"/>
      <c r="H10" s="1468"/>
      <c r="I10" s="1388"/>
      <c r="J10" s="1391"/>
      <c r="K10" s="508"/>
      <c r="L10" s="509"/>
      <c r="M10" s="510">
        <v>736</v>
      </c>
      <c r="N10" s="510"/>
      <c r="O10" s="510"/>
      <c r="P10" s="511"/>
      <c r="Q10" s="511"/>
      <c r="R10" s="512"/>
      <c r="S10" s="513"/>
      <c r="T10" s="514"/>
      <c r="U10" s="514"/>
      <c r="V10" s="530"/>
      <c r="W10" s="508"/>
      <c r="X10" s="513"/>
      <c r="Y10" s="515"/>
      <c r="Z10" s="514"/>
      <c r="AA10" s="516"/>
      <c r="AB10" s="516"/>
      <c r="AC10" s="511"/>
      <c r="AD10" s="513"/>
    </row>
    <row r="11" spans="2:30" s="1" customFormat="1" ht="13.5" thickBot="1">
      <c r="B11" s="1436"/>
      <c r="C11" s="1496"/>
      <c r="D11" s="1417"/>
      <c r="E11" s="1420"/>
      <c r="F11" s="1417"/>
      <c r="G11" s="1420"/>
      <c r="H11" s="1469"/>
      <c r="I11" s="1389"/>
      <c r="J11" s="1392"/>
      <c r="K11" s="517"/>
      <c r="L11" s="518"/>
      <c r="M11" s="518">
        <v>393</v>
      </c>
      <c r="N11" s="518"/>
      <c r="O11" s="518"/>
      <c r="P11" s="519"/>
      <c r="Q11" s="519"/>
      <c r="R11" s="520"/>
      <c r="S11" s="521"/>
      <c r="T11" s="517"/>
      <c r="U11" s="517"/>
      <c r="V11" s="519">
        <v>248</v>
      </c>
      <c r="W11" s="536"/>
      <c r="X11" s="521"/>
      <c r="Y11" s="522"/>
      <c r="Z11" s="517"/>
      <c r="AA11" s="518"/>
      <c r="AB11" s="518"/>
      <c r="AC11" s="519"/>
      <c r="AD11" s="521"/>
    </row>
    <row r="12" spans="1:30" s="6" customFormat="1" ht="12.75">
      <c r="A12" s="1"/>
      <c r="B12" s="1432" t="s">
        <v>141</v>
      </c>
      <c r="C12" s="1433"/>
      <c r="D12" s="1434">
        <v>58</v>
      </c>
      <c r="E12" s="1419">
        <f>D12/$D$88</f>
        <v>0.07047387606318348</v>
      </c>
      <c r="F12" s="1415">
        <f>COUNTA(K12:AD16)</f>
        <v>17</v>
      </c>
      <c r="G12" s="1418">
        <f>F12/D12</f>
        <v>0.29310344827586204</v>
      </c>
      <c r="H12" s="1467">
        <f>$K$5*COUNTA(K12:K16)+$L$5*COUNTA(L12:L16)+$M$5*COUNTA(M12:M16)+$O$5*COUNTA(O12:O16)+$P$5*COUNTA(P12:P16)+$Q$5*COUNTA(Q12:Q16)+$R$5*COUNTA(R12:R16)+$S$5*COUNTA(S12:S16)+$T$5*COUNTA(T12:T16)+$U$5*COUNTA(U12:U16)+$V$5*COUNTA(V12:V16)+$W$5*COUNTA(W12:W16)+$X$5*COUNTA(X12:X16)+$Y$5*COUNTA(Y12:Y16)+$Z$5*COUNTA(Z12:Z16)+$AA$5*COUNTA(AA12:AA16)+$AB$5*COUNTA(AB12:AB16)+$AC$5*COUNTA(AC12:AC16)+$AD$5*COUNTA(AD12:AD16)+$N$5*COUNTA(N12:N16)-150</f>
        <v>3508.49</v>
      </c>
      <c r="I12" s="1387">
        <f>H12/H88</f>
        <v>0.06200034883579146</v>
      </c>
      <c r="J12" s="1390">
        <f>H12/D12</f>
        <v>60.491206896551724</v>
      </c>
      <c r="K12" s="523">
        <v>79</v>
      </c>
      <c r="L12" s="524"/>
      <c r="M12" s="524">
        <v>602</v>
      </c>
      <c r="N12" s="524"/>
      <c r="O12" s="524">
        <v>149</v>
      </c>
      <c r="P12" s="525"/>
      <c r="Q12" s="525"/>
      <c r="R12" s="526"/>
      <c r="S12" s="527"/>
      <c r="T12" s="523"/>
      <c r="U12" s="523"/>
      <c r="V12" s="525">
        <v>670</v>
      </c>
      <c r="W12" s="551">
        <v>583</v>
      </c>
      <c r="X12" s="527"/>
      <c r="Y12" s="528">
        <v>2</v>
      </c>
      <c r="Z12" s="523">
        <v>73</v>
      </c>
      <c r="AA12" s="524">
        <v>128</v>
      </c>
      <c r="AB12" s="524"/>
      <c r="AC12" s="525"/>
      <c r="AD12" s="527"/>
    </row>
    <row r="13" spans="1:30" s="6" customFormat="1" ht="12.75">
      <c r="A13" s="1"/>
      <c r="B13" s="1432"/>
      <c r="C13" s="1433"/>
      <c r="D13" s="1434"/>
      <c r="E13" s="1419"/>
      <c r="F13" s="1416"/>
      <c r="G13" s="1419"/>
      <c r="H13" s="1468"/>
      <c r="I13" s="1388"/>
      <c r="J13" s="1391"/>
      <c r="K13" s="514">
        <v>907</v>
      </c>
      <c r="L13" s="510"/>
      <c r="M13" s="510">
        <v>556</v>
      </c>
      <c r="N13" s="510"/>
      <c r="O13" s="510"/>
      <c r="P13" s="511"/>
      <c r="Q13" s="511"/>
      <c r="R13" s="512"/>
      <c r="S13" s="513"/>
      <c r="T13" s="514"/>
      <c r="U13" s="514"/>
      <c r="V13" s="530"/>
      <c r="W13" s="586">
        <v>198</v>
      </c>
      <c r="X13" s="587"/>
      <c r="Y13" s="515">
        <v>555</v>
      </c>
      <c r="Z13" s="514"/>
      <c r="AA13" s="510">
        <v>208</v>
      </c>
      <c r="AB13" s="510"/>
      <c r="AC13" s="530"/>
      <c r="AD13" s="513"/>
    </row>
    <row r="14" spans="1:30" s="6" customFormat="1" ht="12.75">
      <c r="A14" s="1"/>
      <c r="B14" s="1432"/>
      <c r="C14" s="1433"/>
      <c r="D14" s="1434"/>
      <c r="E14" s="1419"/>
      <c r="F14" s="1416"/>
      <c r="G14" s="1419"/>
      <c r="H14" s="1468"/>
      <c r="I14" s="1388"/>
      <c r="J14" s="1391"/>
      <c r="K14" s="514"/>
      <c r="L14" s="510"/>
      <c r="M14" s="510">
        <v>604</v>
      </c>
      <c r="N14" s="510">
        <v>654</v>
      </c>
      <c r="O14" s="510"/>
      <c r="P14" s="511"/>
      <c r="Q14" s="511"/>
      <c r="R14" s="512"/>
      <c r="S14" s="513"/>
      <c r="T14" s="514"/>
      <c r="U14" s="514"/>
      <c r="V14" s="530"/>
      <c r="W14" s="586"/>
      <c r="X14" s="587"/>
      <c r="Y14" s="515">
        <v>583</v>
      </c>
      <c r="Z14" s="514"/>
      <c r="AA14" s="510"/>
      <c r="AB14" s="510"/>
      <c r="AC14" s="530"/>
      <c r="AD14" s="513"/>
    </row>
    <row r="15" spans="1:30" s="6" customFormat="1" ht="12.75">
      <c r="A15" s="1"/>
      <c r="B15" s="1432"/>
      <c r="C15" s="1433"/>
      <c r="D15" s="1434"/>
      <c r="E15" s="1419"/>
      <c r="F15" s="1416"/>
      <c r="G15" s="1419"/>
      <c r="H15" s="1468"/>
      <c r="I15" s="1388"/>
      <c r="J15" s="1391"/>
      <c r="K15" s="514"/>
      <c r="L15" s="510"/>
      <c r="M15" s="510"/>
      <c r="N15" s="510"/>
      <c r="O15" s="510"/>
      <c r="P15" s="511"/>
      <c r="Q15" s="511"/>
      <c r="R15" s="512"/>
      <c r="S15" s="513"/>
      <c r="T15" s="514"/>
      <c r="U15" s="514"/>
      <c r="V15" s="530"/>
      <c r="W15" s="586"/>
      <c r="X15" s="587"/>
      <c r="Y15" s="515">
        <v>38</v>
      </c>
      <c r="Z15" s="514"/>
      <c r="AA15" s="510"/>
      <c r="AB15" s="510"/>
      <c r="AC15" s="530"/>
      <c r="AD15" s="513"/>
    </row>
    <row r="16" spans="1:30" s="6" customFormat="1" ht="13.5" thickBot="1">
      <c r="A16" s="1"/>
      <c r="B16" s="1432"/>
      <c r="C16" s="1433"/>
      <c r="D16" s="1434"/>
      <c r="E16" s="1419"/>
      <c r="F16" s="1416"/>
      <c r="G16" s="1419"/>
      <c r="H16" s="1469"/>
      <c r="I16" s="1388"/>
      <c r="J16" s="1391"/>
      <c r="K16" s="514"/>
      <c r="L16" s="510"/>
      <c r="M16" s="510"/>
      <c r="N16" s="510"/>
      <c r="O16" s="510"/>
      <c r="P16" s="511"/>
      <c r="Q16" s="511"/>
      <c r="R16" s="512"/>
      <c r="S16" s="513"/>
      <c r="T16" s="514"/>
      <c r="U16" s="514"/>
      <c r="V16" s="530"/>
      <c r="W16" s="586"/>
      <c r="X16" s="587"/>
      <c r="Y16" s="515"/>
      <c r="Z16" s="514"/>
      <c r="AA16" s="510"/>
      <c r="AB16" s="510"/>
      <c r="AC16" s="530"/>
      <c r="AD16" s="513"/>
    </row>
    <row r="17" spans="1:30" s="6" customFormat="1" ht="14.25" customHeight="1">
      <c r="A17" s="1"/>
      <c r="B17" s="1424" t="s">
        <v>142</v>
      </c>
      <c r="C17" s="1435"/>
      <c r="D17" s="1415">
        <v>20</v>
      </c>
      <c r="E17" s="1485">
        <f>D17/$D$88</f>
        <v>0.024301336573511544</v>
      </c>
      <c r="F17" s="1438">
        <f>COUNTA(K17:AD19)</f>
        <v>5</v>
      </c>
      <c r="G17" s="1418">
        <f>F17/D17</f>
        <v>0.25</v>
      </c>
      <c r="H17" s="1467">
        <f>$K$5*COUNTA(K17:K19)+$L$5*COUNTA(L17:L19)+$M$5*COUNTA(M17:M19)+$O$5*COUNTA(O17:O19)+$P$5*COUNTA(P17:P19)+$Q$5*COUNTA(Q17:Q19)+$R$5*COUNTA(R17:R19)+$S$5*COUNTA(S17:S19)+$T$5*COUNTA(T17:T19)+$U$5*COUNTA(U17:U19)+$V$5*COUNTA(V17:V19)+$W$5*COUNTA(W17:W19)+$X$5*COUNTA(X17:X19)+$Y$5*COUNTA(Y17:Y19)+$Z$5*COUNTA(Z17:Z19)+$AA$5*COUNTA(AA17:AA19)+$AB$5*COUNTA(AB17:AB19)+$AC$5*COUNTA(AC17:AC19)+$AD$5*COUNTA(AD17:AD19)</f>
        <v>2032.8</v>
      </c>
      <c r="I17" s="1491">
        <f>H17/H88</f>
        <v>0.035922664483409354</v>
      </c>
      <c r="J17" s="1390">
        <f>H17/D17</f>
        <v>101.64</v>
      </c>
      <c r="K17" s="488"/>
      <c r="L17" s="485"/>
      <c r="M17" s="485"/>
      <c r="N17" s="485"/>
      <c r="O17" s="485">
        <v>1564</v>
      </c>
      <c r="P17" s="531"/>
      <c r="Q17" s="489"/>
      <c r="R17" s="488"/>
      <c r="S17" s="489"/>
      <c r="T17" s="531"/>
      <c r="U17" s="485"/>
      <c r="V17" s="487">
        <v>92</v>
      </c>
      <c r="W17" s="506"/>
      <c r="X17" s="588"/>
      <c r="Y17" s="490"/>
      <c r="Z17" s="531"/>
      <c r="AA17" s="485"/>
      <c r="AB17" s="487"/>
      <c r="AC17" s="485"/>
      <c r="AD17" s="489"/>
    </row>
    <row r="18" spans="1:30" s="6" customFormat="1" ht="14.25" customHeight="1">
      <c r="A18" s="1"/>
      <c r="B18" s="1432"/>
      <c r="C18" s="1433"/>
      <c r="D18" s="1416"/>
      <c r="E18" s="1486"/>
      <c r="F18" s="1434"/>
      <c r="G18" s="1419"/>
      <c r="H18" s="1468"/>
      <c r="I18" s="1492"/>
      <c r="J18" s="1391"/>
      <c r="K18" s="512"/>
      <c r="L18" s="516"/>
      <c r="M18" s="516"/>
      <c r="N18" s="516"/>
      <c r="O18" s="516">
        <v>117</v>
      </c>
      <c r="P18" s="533"/>
      <c r="Q18" s="513"/>
      <c r="R18" s="512">
        <v>752</v>
      </c>
      <c r="S18" s="513"/>
      <c r="T18" s="533"/>
      <c r="U18" s="516">
        <v>1548</v>
      </c>
      <c r="V18" s="511"/>
      <c r="W18" s="508"/>
      <c r="X18" s="589"/>
      <c r="Y18" s="515"/>
      <c r="Z18" s="533"/>
      <c r="AA18" s="516"/>
      <c r="AB18" s="533"/>
      <c r="AC18" s="516"/>
      <c r="AD18" s="513"/>
    </row>
    <row r="19" spans="1:30" s="6" customFormat="1" ht="14.25" customHeight="1" thickBot="1">
      <c r="A19" s="1"/>
      <c r="B19" s="1436"/>
      <c r="C19" s="1437"/>
      <c r="D19" s="1417"/>
      <c r="E19" s="1487"/>
      <c r="F19" s="1439"/>
      <c r="G19" s="1420"/>
      <c r="H19" s="1469"/>
      <c r="I19" s="1493"/>
      <c r="J19" s="1392"/>
      <c r="K19" s="520"/>
      <c r="L19" s="518"/>
      <c r="M19" s="518"/>
      <c r="N19" s="518"/>
      <c r="O19" s="518"/>
      <c r="P19" s="535"/>
      <c r="Q19" s="521"/>
      <c r="R19" s="520"/>
      <c r="S19" s="521"/>
      <c r="T19" s="535"/>
      <c r="U19" s="518"/>
      <c r="V19" s="519"/>
      <c r="W19" s="536"/>
      <c r="X19" s="590"/>
      <c r="Y19" s="522"/>
      <c r="Z19" s="535"/>
      <c r="AA19" s="518"/>
      <c r="AB19" s="537"/>
      <c r="AC19" s="518"/>
      <c r="AD19" s="521"/>
    </row>
    <row r="20" spans="1:30" s="6" customFormat="1" ht="12.75">
      <c r="A20" s="1"/>
      <c r="B20" s="1432" t="s">
        <v>143</v>
      </c>
      <c r="C20" s="1433"/>
      <c r="D20" s="1434">
        <v>28</v>
      </c>
      <c r="E20" s="1419">
        <f>D20/$D$88</f>
        <v>0.03402187120291616</v>
      </c>
      <c r="F20" s="1416">
        <f>COUNTA(K20:AD22)</f>
        <v>7</v>
      </c>
      <c r="G20" s="1419">
        <f>F20/D20</f>
        <v>0.25</v>
      </c>
      <c r="H20" s="1467">
        <f>$K$5*COUNTA(K20:K22)+$L$5*COUNTA(L20:L22)+$M$5*COUNTA(M20:M22)+$O$5*COUNTA(O20:O22)+$P$5*COUNTA(P20:P22)+$Q$5*COUNTA(Q20:Q22)+$R$5*COUNTA(R20:R22)+$S$5*COUNTA(S20:S22)+$T$5*COUNTA(T20:T22)+$U$5*COUNTA(U20:U22)+$V$5*COUNTA(V20:V22)+$W$5*COUNTA(W20:W22)+$X$5*COUNTA(X20:X22)+Y16*COUNTA(Y20:Y22)+$Z$5*COUNTA(Z20:Z22)+$AA$5*COUNTA(AA20:AA22)+$AB$5*COUNTA(AB20:AB22)+$AC$5*COUNTA(AC20:AC22)+$AD$5*COUNTA(AD20:AD22)</f>
        <v>1444.98</v>
      </c>
      <c r="I20" s="1388">
        <f>H20/H88</f>
        <v>0.02553499199391817</v>
      </c>
      <c r="J20" s="1390">
        <f>H20/D20</f>
        <v>51.60642857142857</v>
      </c>
      <c r="K20" s="523">
        <v>1577</v>
      </c>
      <c r="L20" s="524"/>
      <c r="M20" s="524"/>
      <c r="N20" s="524"/>
      <c r="O20" s="524"/>
      <c r="P20" s="525"/>
      <c r="Q20" s="525"/>
      <c r="R20" s="526"/>
      <c r="S20" s="527"/>
      <c r="T20" s="523"/>
      <c r="U20" s="523"/>
      <c r="V20" s="525"/>
      <c r="W20" s="551">
        <v>237</v>
      </c>
      <c r="X20" s="527"/>
      <c r="Y20" s="528"/>
      <c r="Z20" s="523"/>
      <c r="AA20" s="524"/>
      <c r="AB20" s="524"/>
      <c r="AC20" s="525"/>
      <c r="AD20" s="527"/>
    </row>
    <row r="21" spans="1:30" s="6" customFormat="1" ht="12.75">
      <c r="A21" s="1"/>
      <c r="B21" s="1432"/>
      <c r="C21" s="1433"/>
      <c r="D21" s="1434"/>
      <c r="E21" s="1419"/>
      <c r="F21" s="1416"/>
      <c r="G21" s="1419"/>
      <c r="H21" s="1468"/>
      <c r="I21" s="1388"/>
      <c r="J21" s="1391"/>
      <c r="K21" s="523"/>
      <c r="L21" s="524"/>
      <c r="M21" s="524"/>
      <c r="N21" s="524"/>
      <c r="O21" s="524">
        <v>487</v>
      </c>
      <c r="P21" s="525"/>
      <c r="Q21" s="525"/>
      <c r="R21" s="526"/>
      <c r="S21" s="527"/>
      <c r="T21" s="523"/>
      <c r="U21" s="523">
        <v>493</v>
      </c>
      <c r="V21" s="525"/>
      <c r="W21" s="551"/>
      <c r="X21" s="527"/>
      <c r="Y21" s="528"/>
      <c r="Z21" s="523"/>
      <c r="AA21" s="524"/>
      <c r="AB21" s="524"/>
      <c r="AC21" s="525"/>
      <c r="AD21" s="527"/>
    </row>
    <row r="22" spans="1:30" s="6" customFormat="1" ht="13.5" thickBot="1">
      <c r="A22" s="1"/>
      <c r="B22" s="1432"/>
      <c r="C22" s="1433"/>
      <c r="D22" s="1434"/>
      <c r="E22" s="1419"/>
      <c r="F22" s="1416"/>
      <c r="G22" s="1419"/>
      <c r="H22" s="1469"/>
      <c r="I22" s="1388"/>
      <c r="J22" s="1392"/>
      <c r="K22" s="538"/>
      <c r="L22" s="499"/>
      <c r="M22" s="505"/>
      <c r="N22" s="505"/>
      <c r="O22" s="505"/>
      <c r="P22" s="501"/>
      <c r="Q22" s="501"/>
      <c r="R22" s="502"/>
      <c r="S22" s="503"/>
      <c r="T22" s="498">
        <v>125</v>
      </c>
      <c r="U22" s="498"/>
      <c r="V22" s="501"/>
      <c r="W22" s="538"/>
      <c r="X22" s="503"/>
      <c r="Y22" s="504"/>
      <c r="Z22" s="498"/>
      <c r="AA22" s="505"/>
      <c r="AB22" s="505"/>
      <c r="AC22" s="501">
        <v>388</v>
      </c>
      <c r="AD22" s="503">
        <v>616</v>
      </c>
    </row>
    <row r="23" spans="2:30" s="1" customFormat="1" ht="12.75">
      <c r="B23" s="1424" t="s">
        <v>144</v>
      </c>
      <c r="C23" s="1435"/>
      <c r="D23" s="1438">
        <v>40</v>
      </c>
      <c r="E23" s="1418">
        <f>D23/$D$88</f>
        <v>0.04860267314702309</v>
      </c>
      <c r="F23" s="1461">
        <f>COUNTA(K23:AD26)</f>
        <v>9</v>
      </c>
      <c r="G23" s="1418">
        <f>F23/D23</f>
        <v>0.225</v>
      </c>
      <c r="H23" s="1467">
        <f>$K$5*COUNTA(K23:K26)+$L$5*COUNTA(L23:L26)+$M$5*COUNTA(M23:M26)+$O$5*COUNTA(O23:O26)+$P$5*COUNTA(P23:P26)+$Q$5*COUNTA(Q23:Q26)+$R$5*COUNTA(R23:R26)+$S$5*COUNTA(S23:S26)+$T$5*COUNTA(T23:T26)+$U$5*COUNTA(U23:U26)+$V$5*COUNTA(V23:V26)+$W$5*COUNTA(W23:W26)+$X$5*COUNTA(X23:X26)+$Y$5*COUNTA(Y23:Y26)+$Z$5*COUNTA(Z23:Z26)+$AA$5*COUNTA(AA23:AA26)+$AB$5*COUNTA(AB23:AB26)+$AC$5*COUNTA(AC23:AC26)+$AD$5*COUNTA(AD23:AD26)</f>
        <v>3947.54</v>
      </c>
      <c r="I23" s="1387">
        <f>H23/H88</f>
        <v>0.06975902939533539</v>
      </c>
      <c r="J23" s="1390">
        <f>H23/D23</f>
        <v>98.6885</v>
      </c>
      <c r="K23" s="523">
        <v>328</v>
      </c>
      <c r="L23" s="524"/>
      <c r="M23" s="524"/>
      <c r="N23" s="524"/>
      <c r="O23" s="524">
        <v>299</v>
      </c>
      <c r="P23" s="525"/>
      <c r="Q23" s="525"/>
      <c r="R23" s="526"/>
      <c r="S23" s="527">
        <v>1581</v>
      </c>
      <c r="T23" s="523"/>
      <c r="U23" s="523"/>
      <c r="V23" s="525"/>
      <c r="W23" s="551"/>
      <c r="X23" s="527"/>
      <c r="Y23" s="528"/>
      <c r="Z23" s="523"/>
      <c r="AA23" s="524"/>
      <c r="AB23" s="524"/>
      <c r="AC23" s="525"/>
      <c r="AD23" s="527">
        <v>750</v>
      </c>
    </row>
    <row r="24" spans="2:30" s="1" customFormat="1" ht="12.75">
      <c r="B24" s="1432"/>
      <c r="C24" s="1433"/>
      <c r="D24" s="1434"/>
      <c r="E24" s="1419"/>
      <c r="F24" s="1462"/>
      <c r="G24" s="1419"/>
      <c r="H24" s="1468"/>
      <c r="I24" s="1388"/>
      <c r="J24" s="1391"/>
      <c r="K24" s="523">
        <v>1568</v>
      </c>
      <c r="L24" s="524"/>
      <c r="M24" s="524"/>
      <c r="N24" s="524"/>
      <c r="O24" s="524">
        <v>792</v>
      </c>
      <c r="P24" s="525"/>
      <c r="Q24" s="525"/>
      <c r="R24" s="526"/>
      <c r="S24" s="527">
        <v>1567</v>
      </c>
      <c r="T24" s="523"/>
      <c r="U24" s="523"/>
      <c r="V24" s="525"/>
      <c r="W24" s="551"/>
      <c r="X24" s="527"/>
      <c r="Y24" s="528"/>
      <c r="Z24" s="523"/>
      <c r="AA24" s="524"/>
      <c r="AB24" s="524"/>
      <c r="AC24" s="525"/>
      <c r="AD24" s="527"/>
    </row>
    <row r="25" spans="2:30" s="1" customFormat="1" ht="12.75">
      <c r="B25" s="1432"/>
      <c r="C25" s="1433"/>
      <c r="D25" s="1434"/>
      <c r="E25" s="1419"/>
      <c r="F25" s="1462"/>
      <c r="G25" s="1419"/>
      <c r="H25" s="1468"/>
      <c r="I25" s="1388"/>
      <c r="J25" s="1391"/>
      <c r="K25" s="523">
        <v>272</v>
      </c>
      <c r="L25" s="524"/>
      <c r="M25" s="524"/>
      <c r="N25" s="524"/>
      <c r="O25" s="524"/>
      <c r="P25" s="525"/>
      <c r="Q25" s="525"/>
      <c r="R25" s="526"/>
      <c r="S25" s="527"/>
      <c r="T25" s="523"/>
      <c r="U25" s="523"/>
      <c r="V25" s="525"/>
      <c r="W25" s="551"/>
      <c r="X25" s="527"/>
      <c r="Y25" s="528"/>
      <c r="Z25" s="523"/>
      <c r="AA25" s="524"/>
      <c r="AB25" s="524"/>
      <c r="AC25" s="525"/>
      <c r="AD25" s="527"/>
    </row>
    <row r="26" spans="2:30" s="1" customFormat="1" ht="13.5" thickBot="1">
      <c r="B26" s="1432"/>
      <c r="C26" s="1433"/>
      <c r="D26" s="1434"/>
      <c r="E26" s="1419"/>
      <c r="F26" s="1463"/>
      <c r="G26" s="1419"/>
      <c r="H26" s="1469"/>
      <c r="I26" s="1388"/>
      <c r="J26" s="1392"/>
      <c r="K26" s="514">
        <v>127</v>
      </c>
      <c r="L26" s="516"/>
      <c r="M26" s="516"/>
      <c r="N26" s="516"/>
      <c r="O26" s="516"/>
      <c r="P26" s="511"/>
      <c r="Q26" s="511"/>
      <c r="R26" s="512"/>
      <c r="S26" s="513"/>
      <c r="T26" s="514"/>
      <c r="U26" s="514"/>
      <c r="V26" s="511"/>
      <c r="W26" s="508"/>
      <c r="X26" s="513"/>
      <c r="Y26" s="515"/>
      <c r="Z26" s="514"/>
      <c r="AA26" s="516"/>
      <c r="AB26" s="516"/>
      <c r="AC26" s="511"/>
      <c r="AD26" s="513"/>
    </row>
    <row r="27" spans="1:31" s="6" customFormat="1" ht="12.75">
      <c r="A27" s="1"/>
      <c r="B27" s="1483" t="s">
        <v>145</v>
      </c>
      <c r="C27" s="1424"/>
      <c r="D27" s="1438">
        <v>43</v>
      </c>
      <c r="E27" s="1418">
        <f>D27/$D$88</f>
        <v>0.05224787363304982</v>
      </c>
      <c r="F27" s="1415">
        <f>COUNTA(K27:AD29)</f>
        <v>10</v>
      </c>
      <c r="G27" s="1418">
        <f>F27/D27</f>
        <v>0.23255813953488372</v>
      </c>
      <c r="H27" s="1467">
        <f>$K$5*COUNTA(K27:K29)+$L$5*COUNTA(L27:L29)+$M$5*COUNTA(M27:M29)+$O$5*COUNTA(O27:O29)+$P$5*COUNTA(P27:P29)+$Q$5*COUNTA(Q27:Q29)+$R$5*COUNTA(R27:R29)+$S$5*COUNTA(S27:S29)+$T$5*COUNTA(T27:T29)+$U$5*COUNTA(U27:U29)+$V$5*COUNTA(V27:V29)+$W$5*COUNTA(W27:W29)+$X$5*COUNTA(X27:X29)+$Y$5*COUNTA(Y27:Y29)+$Z$5*COUNTA(Z27:Z29)+$AA$5*COUNTA(AA27:AA29)+$AB$5*COUNTA(AB27:AB29)+$AC$5*COUNTA(AC27:AC29)+$AD$5*COUNTA(AD27:AD29)</f>
        <v>4001.96</v>
      </c>
      <c r="I27" s="1387">
        <f>H27/H88</f>
        <v>0.07072071347698983</v>
      </c>
      <c r="J27" s="1390">
        <f>H27/D27</f>
        <v>93.06883720930233</v>
      </c>
      <c r="K27" s="484">
        <v>546</v>
      </c>
      <c r="L27" s="485"/>
      <c r="M27" s="539"/>
      <c r="N27" s="539"/>
      <c r="O27" s="539" t="s">
        <v>170</v>
      </c>
      <c r="P27" s="487"/>
      <c r="Q27" s="487"/>
      <c r="R27" s="488">
        <v>708</v>
      </c>
      <c r="S27" s="489">
        <v>596</v>
      </c>
      <c r="T27" s="484">
        <v>528</v>
      </c>
      <c r="U27" s="484"/>
      <c r="V27" s="487"/>
      <c r="W27" s="506"/>
      <c r="X27" s="489"/>
      <c r="Y27" s="490"/>
      <c r="Z27" s="484">
        <v>194</v>
      </c>
      <c r="AA27" s="485"/>
      <c r="AB27" s="485"/>
      <c r="AC27" s="487"/>
      <c r="AD27" s="489">
        <v>504</v>
      </c>
      <c r="AE27" s="1311"/>
    </row>
    <row r="28" spans="2:31" s="1" customFormat="1" ht="12.75">
      <c r="B28" s="1484"/>
      <c r="C28" s="1432"/>
      <c r="D28" s="1434"/>
      <c r="E28" s="1419"/>
      <c r="F28" s="1416"/>
      <c r="G28" s="1419"/>
      <c r="H28" s="1468"/>
      <c r="I28" s="1388"/>
      <c r="J28" s="1391"/>
      <c r="K28" s="514"/>
      <c r="L28" s="516"/>
      <c r="M28" s="516"/>
      <c r="N28" s="516"/>
      <c r="O28" s="516">
        <v>650</v>
      </c>
      <c r="P28" s="511"/>
      <c r="Q28" s="511"/>
      <c r="R28" s="512"/>
      <c r="S28" s="513"/>
      <c r="T28" s="514"/>
      <c r="U28" s="514"/>
      <c r="V28" s="511"/>
      <c r="W28" s="508"/>
      <c r="X28" s="513"/>
      <c r="Y28" s="515"/>
      <c r="Z28" s="514"/>
      <c r="AA28" s="516"/>
      <c r="AB28" s="516"/>
      <c r="AC28" s="511"/>
      <c r="AD28" s="513">
        <v>66</v>
      </c>
      <c r="AE28" s="1311"/>
    </row>
    <row r="29" spans="2:31" s="1" customFormat="1" ht="13.5" thickBot="1">
      <c r="B29" s="1484"/>
      <c r="C29" s="1432"/>
      <c r="D29" s="1434"/>
      <c r="E29" s="1419"/>
      <c r="F29" s="1416"/>
      <c r="G29" s="1419"/>
      <c r="H29" s="1469"/>
      <c r="I29" s="1388"/>
      <c r="J29" s="1392"/>
      <c r="K29" s="546"/>
      <c r="L29" s="541"/>
      <c r="M29" s="541"/>
      <c r="N29" s="541"/>
      <c r="O29" s="541">
        <v>75</v>
      </c>
      <c r="P29" s="542"/>
      <c r="Q29" s="542"/>
      <c r="R29" s="543"/>
      <c r="S29" s="544"/>
      <c r="T29" s="540"/>
      <c r="U29" s="540"/>
      <c r="V29" s="542"/>
      <c r="W29" s="552"/>
      <c r="X29" s="544"/>
      <c r="Y29" s="545"/>
      <c r="Z29" s="540"/>
      <c r="AA29" s="541"/>
      <c r="AB29" s="541"/>
      <c r="AC29" s="542"/>
      <c r="AD29" s="544"/>
      <c r="AE29" s="1311"/>
    </row>
    <row r="30" spans="2:31" s="1" customFormat="1" ht="12.75">
      <c r="B30" s="1477" t="s">
        <v>146</v>
      </c>
      <c r="C30" s="1478"/>
      <c r="D30" s="1415">
        <v>20</v>
      </c>
      <c r="E30" s="1418">
        <f>D30/$D$88</f>
        <v>0.024301336573511544</v>
      </c>
      <c r="F30" s="1415">
        <f>COUNTA(K30:AD32)</f>
        <v>5</v>
      </c>
      <c r="G30" s="1418">
        <f>F30/D30</f>
        <v>0.25</v>
      </c>
      <c r="H30" s="1467">
        <f>$K$5*COUNTA(K30:K32)+$L$5*COUNTA(L30:L32)+$M$5*COUNTA(M30:M32)+$O$5*COUNTA(O30:O32)+$P$5*COUNTA(P30:P32)+$Q$5*COUNTA(Q30:Q32)+$R$5*COUNTA(R30:R32)+$S$5*COUNTA(S30:S32)+$T$5*COUNTA(T30:T32)+$U$5*COUNTA(U30:U32)+$V$5*COUNTA(V30:V32)+$W$5*COUNTA(W30:W32)+$X$5*COUNTA(X30:X32)+$Y$5*COUNTA(Y30:Y32)+$Z$5*COUNTA(Z30:Z32)+$AA$5*COUNTA(AA30:AA32)+$AB$5*COUNTA(AB30:AB32)+$AC$5*COUNTA(AC30:AC32)+$AD$5*COUNTA(AD30:AD32)</f>
        <v>981.4499999999999</v>
      </c>
      <c r="I30" s="1387">
        <f>H30/H88</f>
        <v>0.017343712641303674</v>
      </c>
      <c r="J30" s="1390">
        <f>H30/D30</f>
        <v>49.0725</v>
      </c>
      <c r="K30" s="547"/>
      <c r="L30" s="485">
        <v>386</v>
      </c>
      <c r="M30" s="485"/>
      <c r="N30" s="485"/>
      <c r="O30" s="485"/>
      <c r="P30" s="487"/>
      <c r="Q30" s="487"/>
      <c r="R30" s="488"/>
      <c r="S30" s="489"/>
      <c r="T30" s="484">
        <v>42</v>
      </c>
      <c r="U30" s="484"/>
      <c r="V30" s="487"/>
      <c r="W30" s="506">
        <v>627</v>
      </c>
      <c r="X30" s="489"/>
      <c r="Y30" s="490"/>
      <c r="Z30" s="484"/>
      <c r="AA30" s="485">
        <v>524</v>
      </c>
      <c r="AB30" s="485"/>
      <c r="AC30" s="487"/>
      <c r="AD30" s="489"/>
      <c r="AE30" s="385"/>
    </row>
    <row r="31" spans="2:31" s="1" customFormat="1" ht="12.75">
      <c r="B31" s="1507"/>
      <c r="C31" s="1508"/>
      <c r="D31" s="1416"/>
      <c r="E31" s="1419"/>
      <c r="F31" s="1416"/>
      <c r="G31" s="1419"/>
      <c r="H31" s="1468"/>
      <c r="I31" s="1388"/>
      <c r="J31" s="1391"/>
      <c r="K31" s="626"/>
      <c r="L31" s="524">
        <v>962</v>
      </c>
      <c r="M31" s="524"/>
      <c r="N31" s="524"/>
      <c r="O31" s="524"/>
      <c r="P31" s="525"/>
      <c r="Q31" s="525"/>
      <c r="R31" s="526"/>
      <c r="S31" s="527"/>
      <c r="T31" s="523"/>
      <c r="U31" s="523"/>
      <c r="V31" s="525"/>
      <c r="W31" s="551"/>
      <c r="X31" s="527"/>
      <c r="Y31" s="528"/>
      <c r="Z31" s="523"/>
      <c r="AA31" s="524"/>
      <c r="AB31" s="524"/>
      <c r="AC31" s="525"/>
      <c r="AD31" s="527"/>
      <c r="AE31" s="385"/>
    </row>
    <row r="32" spans="2:30" s="1" customFormat="1" ht="13.5" thickBot="1">
      <c r="B32" s="1479"/>
      <c r="C32" s="1480"/>
      <c r="D32" s="1417"/>
      <c r="E32" s="1420"/>
      <c r="F32" s="1417"/>
      <c r="G32" s="1420"/>
      <c r="H32" s="1469"/>
      <c r="I32" s="1389"/>
      <c r="J32" s="1392"/>
      <c r="K32" s="523"/>
      <c r="L32" s="524"/>
      <c r="M32" s="524"/>
      <c r="N32" s="524"/>
      <c r="O32" s="524"/>
      <c r="P32" s="525"/>
      <c r="Q32" s="525"/>
      <c r="R32" s="526"/>
      <c r="S32" s="527"/>
      <c r="T32" s="523"/>
      <c r="U32" s="523"/>
      <c r="V32" s="525"/>
      <c r="W32" s="508"/>
      <c r="X32" s="527"/>
      <c r="Y32" s="528"/>
      <c r="Z32" s="523"/>
      <c r="AA32" s="524"/>
      <c r="AB32" s="524"/>
      <c r="AC32" s="525"/>
      <c r="AD32" s="527"/>
    </row>
    <row r="33" spans="1:30" s="6" customFormat="1" ht="12.75">
      <c r="A33" s="1"/>
      <c r="B33" s="1424" t="s">
        <v>147</v>
      </c>
      <c r="C33" s="1435"/>
      <c r="D33" s="1438">
        <v>22</v>
      </c>
      <c r="E33" s="1418">
        <f>D33/$D$88</f>
        <v>0.026731470230862697</v>
      </c>
      <c r="F33" s="1415">
        <f>COUNTA(K33:AD35)</f>
        <v>3</v>
      </c>
      <c r="G33" s="1418">
        <f>F33/D33</f>
        <v>0.13636363636363635</v>
      </c>
      <c r="H33" s="1467">
        <f>$K$5*COUNTA(K33:K35)+$L$5*COUNTA(L33:L35)+$M$5*COUNTA(M33:M35)+$O$5*COUNTA(O33:O35)+$P$5*COUNTA(P33:P35)+$Q$5*COUNTA(Q33:Q35)+$R$5*COUNTA(R33:R35)+$S$5*COUNTA(S33:S35)+$T$5*COUNTA(T33:T35)+$U$5*COUNTA(U33:U35)+$V$5*COUNTA(V33:V35)+$W$5*COUNTA(W33:W35)+$X$5*COUNTA(X33:X35)+$Y$5*COUNTA(Y33:Y35)+$Z$5*COUNTA(Z33:Z35)+$AA$5*COUNTA(AA33:AA35)+$AB$5*COUNTA(AB33:AB35)+$AC$5*COUNTA(AC33:AC35)+$AD$5*COUNTA(AD33:AD35)</f>
        <v>1404.95</v>
      </c>
      <c r="I33" s="1387">
        <f>H33/H88</f>
        <v>0.024827601075347292</v>
      </c>
      <c r="J33" s="1390">
        <f>H33/D33</f>
        <v>63.86136363636364</v>
      </c>
      <c r="K33" s="484">
        <v>389</v>
      </c>
      <c r="L33" s="485"/>
      <c r="M33" s="485"/>
      <c r="N33" s="485"/>
      <c r="O33" s="485"/>
      <c r="P33" s="487"/>
      <c r="Q33" s="487"/>
      <c r="R33" s="488">
        <v>994</v>
      </c>
      <c r="S33" s="489"/>
      <c r="T33" s="484"/>
      <c r="U33" s="484"/>
      <c r="V33" s="487"/>
      <c r="W33" s="506"/>
      <c r="X33" s="489"/>
      <c r="Y33" s="490"/>
      <c r="Z33" s="484"/>
      <c r="AA33" s="485"/>
      <c r="AB33" s="485"/>
      <c r="AC33" s="487"/>
      <c r="AD33" s="489"/>
    </row>
    <row r="34" spans="1:30" s="6" customFormat="1" ht="12.75">
      <c r="A34" s="1"/>
      <c r="B34" s="1432"/>
      <c r="C34" s="1433"/>
      <c r="D34" s="1434"/>
      <c r="E34" s="1419"/>
      <c r="F34" s="1416"/>
      <c r="G34" s="1419"/>
      <c r="H34" s="1468"/>
      <c r="I34" s="1388"/>
      <c r="J34" s="1391"/>
      <c r="K34" s="491"/>
      <c r="L34" s="492"/>
      <c r="M34" s="492">
        <v>1531</v>
      </c>
      <c r="N34" s="492"/>
      <c r="O34" s="492"/>
      <c r="P34" s="494"/>
      <c r="Q34" s="494"/>
      <c r="R34" s="495"/>
      <c r="S34" s="496"/>
      <c r="T34" s="491"/>
      <c r="U34" s="491"/>
      <c r="V34" s="494"/>
      <c r="W34" s="584"/>
      <c r="X34" s="496"/>
      <c r="Y34" s="497"/>
      <c r="Z34" s="491"/>
      <c r="AA34" s="492"/>
      <c r="AB34" s="492"/>
      <c r="AC34" s="494"/>
      <c r="AD34" s="496"/>
    </row>
    <row r="35" spans="1:30" s="6" customFormat="1" ht="13.5" thickBot="1">
      <c r="A35" s="1"/>
      <c r="B35" s="1436"/>
      <c r="C35" s="1437"/>
      <c r="D35" s="1439"/>
      <c r="E35" s="1420"/>
      <c r="F35" s="1417"/>
      <c r="G35" s="1420"/>
      <c r="H35" s="1469"/>
      <c r="I35" s="1389"/>
      <c r="J35" s="1392"/>
      <c r="K35" s="498"/>
      <c r="L35" s="505"/>
      <c r="M35" s="505"/>
      <c r="N35" s="505"/>
      <c r="O35" s="505"/>
      <c r="P35" s="501"/>
      <c r="Q35" s="501"/>
      <c r="R35" s="502"/>
      <c r="S35" s="503"/>
      <c r="T35" s="498"/>
      <c r="U35" s="498"/>
      <c r="V35" s="501"/>
      <c r="W35" s="538"/>
      <c r="X35" s="503"/>
      <c r="Y35" s="504"/>
      <c r="Z35" s="498"/>
      <c r="AA35" s="505"/>
      <c r="AB35" s="505"/>
      <c r="AC35" s="501"/>
      <c r="AD35" s="503"/>
    </row>
    <row r="36" spans="2:30" s="1" customFormat="1" ht="12.75">
      <c r="B36" s="1473" t="s">
        <v>148</v>
      </c>
      <c r="C36" s="1474"/>
      <c r="D36" s="1475">
        <v>35</v>
      </c>
      <c r="E36" s="1476">
        <f>D36/$D$88</f>
        <v>0.0425273390036452</v>
      </c>
      <c r="F36" s="1415">
        <f>COUNTA(K36:AD38)</f>
        <v>9</v>
      </c>
      <c r="G36" s="1418">
        <f>F36/D36</f>
        <v>0.2571428571428571</v>
      </c>
      <c r="H36" s="1467">
        <f>$K$5*COUNTA(K36:K38)+$L$5*COUNTA(L36:L38)+$M$5*COUNTA(M36:M38)+$O$5*COUNTA(O36:O38)+$P$5*COUNTA(P36:P38)+$Q$5*COUNTA(Q36:Q38)+$R$5*COUNTA(R36:R38)+$S$5*COUNTA(S36:S38)+$T$5*COUNTA(T36:T38)+$U$5*COUNTA(U36:U38)+$V$5*COUNTA(V36:V38)+$W$5*COUNTA(W36:W38)+$X$5*COUNTA(X36:X38)+$Y$5*COUNTA(Y36:Y38)+$Z$5*COUNTA(Z36:Z38)+$AA$5*COUNTA(AA36:AA38)+$AB$5*COUNTA(AB36:AB38)+$AC$5*COUNTA(AC36:AC38)+$AD$5*COUNTA(AD36:AD38)</f>
        <v>2390.4</v>
      </c>
      <c r="I36" s="1387">
        <f>H36/H88</f>
        <v>0.04224199979395008</v>
      </c>
      <c r="J36" s="1390">
        <f>H36/D36</f>
        <v>68.29714285714286</v>
      </c>
      <c r="K36" s="484"/>
      <c r="L36" s="485"/>
      <c r="M36" s="485"/>
      <c r="N36" s="485"/>
      <c r="O36" s="485">
        <v>592</v>
      </c>
      <c r="P36" s="487"/>
      <c r="Q36" s="487"/>
      <c r="R36" s="488"/>
      <c r="S36" s="489"/>
      <c r="T36" s="484"/>
      <c r="U36" s="484"/>
      <c r="V36" s="487">
        <v>321</v>
      </c>
      <c r="W36" s="506">
        <v>31</v>
      </c>
      <c r="X36" s="489"/>
      <c r="Y36" s="490"/>
      <c r="Z36" s="484"/>
      <c r="AA36" s="485">
        <v>993</v>
      </c>
      <c r="AB36" s="485"/>
      <c r="AC36" s="487"/>
      <c r="AD36" s="489"/>
    </row>
    <row r="37" spans="2:30" s="1" customFormat="1" ht="12.75">
      <c r="B37" s="1399"/>
      <c r="C37" s="1400"/>
      <c r="D37" s="1407"/>
      <c r="E37" s="1411"/>
      <c r="F37" s="1416"/>
      <c r="G37" s="1419"/>
      <c r="H37" s="1468"/>
      <c r="I37" s="1388"/>
      <c r="J37" s="1391"/>
      <c r="K37" s="523">
        <v>1550</v>
      </c>
      <c r="L37" s="524"/>
      <c r="M37" s="524"/>
      <c r="N37" s="524"/>
      <c r="O37" s="524">
        <v>72</v>
      </c>
      <c r="P37" s="525"/>
      <c r="Q37" s="525"/>
      <c r="R37" s="526"/>
      <c r="S37" s="527"/>
      <c r="T37" s="523"/>
      <c r="U37" s="523"/>
      <c r="V37" s="525"/>
      <c r="W37" s="551">
        <v>439</v>
      </c>
      <c r="X37" s="527"/>
      <c r="Y37" s="528"/>
      <c r="Z37" s="523"/>
      <c r="AA37" s="524">
        <v>601</v>
      </c>
      <c r="AB37" s="524"/>
      <c r="AC37" s="525"/>
      <c r="AD37" s="527"/>
    </row>
    <row r="38" spans="2:30" s="1" customFormat="1" ht="13.5" thickBot="1">
      <c r="B38" s="1401"/>
      <c r="C38" s="1402"/>
      <c r="D38" s="1408"/>
      <c r="E38" s="1412"/>
      <c r="F38" s="1417"/>
      <c r="G38" s="1420"/>
      <c r="H38" s="1469"/>
      <c r="I38" s="1389"/>
      <c r="J38" s="1392"/>
      <c r="K38" s="514"/>
      <c r="L38" s="516"/>
      <c r="M38" s="516"/>
      <c r="N38" s="516"/>
      <c r="O38" s="516">
        <v>818</v>
      </c>
      <c r="P38" s="511"/>
      <c r="Q38" s="511"/>
      <c r="R38" s="512"/>
      <c r="S38" s="513"/>
      <c r="T38" s="514"/>
      <c r="U38" s="514"/>
      <c r="V38" s="511"/>
      <c r="W38" s="508"/>
      <c r="X38" s="513"/>
      <c r="Y38" s="515"/>
      <c r="Z38" s="514"/>
      <c r="AA38" s="516"/>
      <c r="AB38" s="516"/>
      <c r="AC38" s="511"/>
      <c r="AD38" s="513"/>
    </row>
    <row r="39" spans="2:30" s="1" customFormat="1" ht="12.75">
      <c r="B39" s="1424" t="s">
        <v>149</v>
      </c>
      <c r="C39" s="1435"/>
      <c r="D39" s="1438">
        <v>14</v>
      </c>
      <c r="E39" s="1418">
        <f>D39/$D$88</f>
        <v>0.01701093560145808</v>
      </c>
      <c r="F39" s="1415">
        <f>COUNTA(K39:AD41)</f>
        <v>3</v>
      </c>
      <c r="G39" s="1418">
        <f>F39/D39</f>
        <v>0.21428571428571427</v>
      </c>
      <c r="H39" s="1467">
        <f>$K$5*COUNTA(K39:K41)+$L$5*COUNTA(L39:L41)+$M$5*COUNTA(M39:M41)+$O$5*COUNTA(O39:O41)+$P$5*COUNTA(P39:P41)+$Q$5*COUNTA(Q39:Q41)+$R$5*COUNTA(R39:R41)+$S$5*COUNTA(S39:S41)+$T$5*COUNTA(T39:T41)+$U$5*COUNTA(U39:U41)+$V$5*COUNTA(V39:V41)+$W$5*COUNTA(W39:W41)+$X$5*COUNTA(X39:X41)+$Y$5*COUNTA(Y39:Y41)+$Z$5*COUNTA(Z39:Z41)+$AA$5*COUNTA(AA39:AA41)+$AB$5*COUNTA(AB39:AB41)+$AC$5*COUNTA(AC39:AC41)+$AD$5*COUNTA(AD39:AD41)</f>
        <v>1091.77</v>
      </c>
      <c r="I39" s="1387">
        <f>H39/H88</f>
        <v>0.01929323465321322</v>
      </c>
      <c r="J39" s="1470">
        <f>H39/D39</f>
        <v>77.98357142857142</v>
      </c>
      <c r="K39" s="484">
        <v>85</v>
      </c>
      <c r="L39" s="485"/>
      <c r="M39" s="485"/>
      <c r="N39" s="485"/>
      <c r="O39" s="485">
        <v>81</v>
      </c>
      <c r="P39" s="487"/>
      <c r="Q39" s="487"/>
      <c r="R39" s="488"/>
      <c r="S39" s="489"/>
      <c r="T39" s="484"/>
      <c r="U39" s="484"/>
      <c r="V39" s="487"/>
      <c r="W39" s="506"/>
      <c r="X39" s="489"/>
      <c r="Y39" s="490"/>
      <c r="Z39" s="484"/>
      <c r="AA39" s="485"/>
      <c r="AB39" s="485"/>
      <c r="AC39" s="487"/>
      <c r="AD39" s="489"/>
    </row>
    <row r="40" spans="2:30" s="1" customFormat="1" ht="12.75">
      <c r="B40" s="1432"/>
      <c r="C40" s="1433"/>
      <c r="D40" s="1434"/>
      <c r="E40" s="1419"/>
      <c r="F40" s="1416"/>
      <c r="G40" s="1419"/>
      <c r="H40" s="1468"/>
      <c r="I40" s="1388"/>
      <c r="J40" s="1471"/>
      <c r="K40" s="491">
        <v>47</v>
      </c>
      <c r="L40" s="492"/>
      <c r="M40" s="492"/>
      <c r="N40" s="492"/>
      <c r="O40" s="492"/>
      <c r="P40" s="494"/>
      <c r="Q40" s="494"/>
      <c r="R40" s="495"/>
      <c r="S40" s="496"/>
      <c r="T40" s="491"/>
      <c r="U40" s="491"/>
      <c r="V40" s="494"/>
      <c r="W40" s="584"/>
      <c r="X40" s="496"/>
      <c r="Y40" s="497"/>
      <c r="Z40" s="491"/>
      <c r="AA40" s="492"/>
      <c r="AB40" s="492"/>
      <c r="AC40" s="494"/>
      <c r="AD40" s="496"/>
    </row>
    <row r="41" spans="2:30" s="1" customFormat="1" ht="13.5" thickBot="1">
      <c r="B41" s="1436"/>
      <c r="C41" s="1437"/>
      <c r="D41" s="1439"/>
      <c r="E41" s="1420"/>
      <c r="F41" s="1417"/>
      <c r="G41" s="1420"/>
      <c r="H41" s="1469"/>
      <c r="I41" s="1389"/>
      <c r="J41" s="1472"/>
      <c r="K41" s="498"/>
      <c r="L41" s="499"/>
      <c r="M41" s="505"/>
      <c r="N41" s="505"/>
      <c r="O41" s="505"/>
      <c r="P41" s="501"/>
      <c r="Q41" s="501"/>
      <c r="R41" s="502"/>
      <c r="S41" s="503"/>
      <c r="T41" s="498"/>
      <c r="U41" s="498"/>
      <c r="V41" s="501"/>
      <c r="W41" s="538"/>
      <c r="X41" s="503"/>
      <c r="Y41" s="504"/>
      <c r="Z41" s="498"/>
      <c r="AA41" s="505"/>
      <c r="AB41" s="505"/>
      <c r="AC41" s="501"/>
      <c r="AD41" s="503"/>
    </row>
    <row r="42" spans="2:30" s="1" customFormat="1" ht="12.75">
      <c r="B42" s="1449" t="s">
        <v>150</v>
      </c>
      <c r="C42" s="1450"/>
      <c r="D42" s="1455">
        <v>44</v>
      </c>
      <c r="E42" s="1458">
        <f>D42/$D$88</f>
        <v>0.053462940461725394</v>
      </c>
      <c r="F42" s="1461">
        <f>COUNTA(K42:AD45)</f>
        <v>11</v>
      </c>
      <c r="G42" s="1464">
        <f>F42/D42</f>
        <v>0.25</v>
      </c>
      <c r="H42" s="1467">
        <f>$K$5*COUNTA(K42:K45)+$L$5*COUNTA(L42:L45)+$M$5*COUNTA(M42:M45)+$O$5*COUNTA(O42:O45)+$P$5*COUNTA(P42:P45)+$Q$5*COUNTA(Q42:Q45)+$R$5*COUNTA(R42:R45)+$S$5*COUNTA(S42:S45)+$T$5*COUNTA(T42:T45)+$U$5*COUNTA(U42:U45)+$V$5*COUNTA(V42:V45)+$W$5*COUNTA(W42:W45)+$X$5*COUNTA(X42:X45)+$Y$5*COUNTA(Y42:Y45)+$Z$5*COUNTA(Z42:Z45)+$AA$5*COUNTA(AA42:AA45)+$AB$5*COUNTA(AB42:AB45)+$AC$5*COUNTA(AC42:AC45)+$AD$5*COUNTA(AD42:AD45)</f>
        <v>2942.3599999999997</v>
      </c>
      <c r="I42" s="1446">
        <f>H42/H88</f>
        <v>0.051995971600454716</v>
      </c>
      <c r="J42" s="1390">
        <f>H42/D42</f>
        <v>66.87181818181817</v>
      </c>
      <c r="K42" s="549" t="s">
        <v>200</v>
      </c>
      <c r="L42" s="485">
        <v>586</v>
      </c>
      <c r="M42" s="485">
        <v>811</v>
      </c>
      <c r="N42" s="485"/>
      <c r="O42" s="485"/>
      <c r="P42" s="487"/>
      <c r="Q42" s="487"/>
      <c r="R42" s="488"/>
      <c r="S42" s="489">
        <v>801</v>
      </c>
      <c r="T42" s="484">
        <v>802</v>
      </c>
      <c r="U42" s="484"/>
      <c r="V42" s="487"/>
      <c r="W42" s="506">
        <v>805</v>
      </c>
      <c r="X42" s="489"/>
      <c r="Y42" s="490">
        <v>702</v>
      </c>
      <c r="Z42" s="484"/>
      <c r="AA42" s="485">
        <v>474</v>
      </c>
      <c r="AB42" s="485"/>
      <c r="AC42" s="487"/>
      <c r="AD42" s="489"/>
    </row>
    <row r="43" spans="2:30" s="1" customFormat="1" ht="12.75">
      <c r="B43" s="1534"/>
      <c r="C43" s="1535"/>
      <c r="D43" s="1536"/>
      <c r="E43" s="1537"/>
      <c r="F43" s="1462"/>
      <c r="G43" s="1465"/>
      <c r="H43" s="1468"/>
      <c r="I43" s="1447"/>
      <c r="J43" s="1391"/>
      <c r="K43" s="626" t="s">
        <v>206</v>
      </c>
      <c r="L43" s="524"/>
      <c r="M43" s="524">
        <v>148</v>
      </c>
      <c r="N43" s="524"/>
      <c r="O43" s="524"/>
      <c r="P43" s="525"/>
      <c r="Q43" s="525"/>
      <c r="R43" s="526"/>
      <c r="S43" s="527"/>
      <c r="T43" s="523"/>
      <c r="U43" s="523"/>
      <c r="V43" s="525"/>
      <c r="W43" s="551"/>
      <c r="X43" s="527"/>
      <c r="Y43" s="528"/>
      <c r="Z43" s="523"/>
      <c r="AA43" s="524"/>
      <c r="AB43" s="524"/>
      <c r="AC43" s="525"/>
      <c r="AD43" s="527"/>
    </row>
    <row r="44" spans="2:30" s="1" customFormat="1" ht="12.75">
      <c r="B44" s="1451"/>
      <c r="C44" s="1452"/>
      <c r="D44" s="1456"/>
      <c r="E44" s="1459"/>
      <c r="F44" s="1462"/>
      <c r="G44" s="1465"/>
      <c r="H44" s="1468"/>
      <c r="I44" s="1447"/>
      <c r="J44" s="1391"/>
      <c r="K44" s="514"/>
      <c r="L44" s="516"/>
      <c r="M44" s="516">
        <v>662</v>
      </c>
      <c r="N44" s="516"/>
      <c r="O44" s="516"/>
      <c r="P44" s="511"/>
      <c r="Q44" s="511"/>
      <c r="R44" s="512"/>
      <c r="S44" s="513"/>
      <c r="T44" s="514"/>
      <c r="U44" s="514"/>
      <c r="V44" s="511"/>
      <c r="W44" s="508"/>
      <c r="X44" s="513"/>
      <c r="Y44" s="515"/>
      <c r="Z44" s="514"/>
      <c r="AA44" s="516"/>
      <c r="AB44" s="516"/>
      <c r="AC44" s="511"/>
      <c r="AD44" s="513"/>
    </row>
    <row r="45" spans="2:30" s="1" customFormat="1" ht="13.5" thickBot="1">
      <c r="B45" s="1453"/>
      <c r="C45" s="1454"/>
      <c r="D45" s="1457"/>
      <c r="E45" s="1460"/>
      <c r="F45" s="1463"/>
      <c r="G45" s="1466"/>
      <c r="H45" s="1469"/>
      <c r="I45" s="1448"/>
      <c r="J45" s="1392"/>
      <c r="K45" s="514"/>
      <c r="L45" s="516"/>
      <c r="M45" s="516"/>
      <c r="N45" s="516"/>
      <c r="O45" s="516"/>
      <c r="P45" s="511"/>
      <c r="Q45" s="511"/>
      <c r="R45" s="512"/>
      <c r="S45" s="513"/>
      <c r="T45" s="514"/>
      <c r="U45" s="514"/>
      <c r="V45" s="511"/>
      <c r="W45" s="508"/>
      <c r="X45" s="513"/>
      <c r="Y45" s="515"/>
      <c r="Z45" s="514"/>
      <c r="AA45" s="516"/>
      <c r="AB45" s="516"/>
      <c r="AC45" s="511"/>
      <c r="AD45" s="513"/>
    </row>
    <row r="46" spans="2:30" s="1" customFormat="1" ht="12.75">
      <c r="B46" s="1399" t="s">
        <v>151</v>
      </c>
      <c r="C46" s="1400"/>
      <c r="D46" s="1407">
        <v>50</v>
      </c>
      <c r="E46" s="1411">
        <f>D46/$D$88</f>
        <v>0.060753341433778855</v>
      </c>
      <c r="F46" s="1415">
        <f>COUNTA(K46:AD48)</f>
        <v>11</v>
      </c>
      <c r="G46" s="1418">
        <f>F46/D46</f>
        <v>0.22</v>
      </c>
      <c r="H46" s="1467">
        <f>$K$5*COUNTA(K46:K48)+$L$5*COUNTA(L46:L48)+$M$5*COUNTA(M46:M48)+$O$5*COUNTA(O46:O48)+$P$5*COUNTA(P46:P48)+$Q$5*COUNTA(Q46:Q48)+$R$5*COUNTA(R46:R48)+$S$5*COUNTA(S46:S48)+$T$5*COUNTA(T46:T48)+$U$5*COUNTA(U46:U48)+$V$5*COUNTA(V46:V48)+$W$5*COUNTA(W46:W48)+$X$5*COUNTA(X46:X48)+$Y$5*COUNTA(Y46:Y48)+$Z$5*COUNTA(Z46:Z48)+$AA$5*COUNTA(AA46:AA48)+$AB$5*COUNTA(AB46:AB48)+$AC$5*COUNTA(AC46:AC48)+$AD$5*COUNTA(AD46:AD48)</f>
        <v>3133.2599999999998</v>
      </c>
      <c r="I46" s="1387">
        <f>H46/H88</f>
        <v>0.055369464639554895</v>
      </c>
      <c r="J46" s="1390">
        <f>H46/D46</f>
        <v>62.6652</v>
      </c>
      <c r="K46" s="484"/>
      <c r="L46" s="485"/>
      <c r="M46" s="485"/>
      <c r="N46" s="485"/>
      <c r="O46" s="485">
        <v>533</v>
      </c>
      <c r="P46" s="487">
        <v>33</v>
      </c>
      <c r="Q46" s="487"/>
      <c r="R46" s="488"/>
      <c r="S46" s="489">
        <v>808</v>
      </c>
      <c r="T46" s="484">
        <v>646</v>
      </c>
      <c r="U46" s="484"/>
      <c r="V46" s="487"/>
      <c r="W46" s="506"/>
      <c r="X46" s="489">
        <v>1541</v>
      </c>
      <c r="Y46" s="490">
        <v>86</v>
      </c>
      <c r="Z46" s="484">
        <v>574</v>
      </c>
      <c r="AA46" s="485"/>
      <c r="AB46" s="485"/>
      <c r="AC46" s="487"/>
      <c r="AD46" s="489"/>
    </row>
    <row r="47" spans="2:30" s="1" customFormat="1" ht="12.75">
      <c r="B47" s="1399"/>
      <c r="C47" s="1400"/>
      <c r="D47" s="1407"/>
      <c r="E47" s="1411"/>
      <c r="F47" s="1416"/>
      <c r="G47" s="1419"/>
      <c r="H47" s="1468"/>
      <c r="I47" s="1388"/>
      <c r="J47" s="1391"/>
      <c r="K47" s="523"/>
      <c r="L47" s="524"/>
      <c r="M47" s="524">
        <v>753</v>
      </c>
      <c r="N47" s="524"/>
      <c r="O47" s="524">
        <v>1559</v>
      </c>
      <c r="P47" s="525"/>
      <c r="Q47" s="525"/>
      <c r="R47" s="526"/>
      <c r="S47" s="527"/>
      <c r="T47" s="523"/>
      <c r="U47" s="523"/>
      <c r="V47" s="525"/>
      <c r="W47" s="551"/>
      <c r="X47" s="527">
        <v>479</v>
      </c>
      <c r="Y47" s="528"/>
      <c r="Z47" s="523"/>
      <c r="AA47" s="524"/>
      <c r="AB47" s="524"/>
      <c r="AC47" s="525"/>
      <c r="AD47" s="527"/>
    </row>
    <row r="48" spans="1:30" s="6" customFormat="1" ht="13.5" thickBot="1">
      <c r="A48" s="1"/>
      <c r="B48" s="1401"/>
      <c r="C48" s="1402"/>
      <c r="D48" s="1408"/>
      <c r="E48" s="1412"/>
      <c r="F48" s="1417"/>
      <c r="G48" s="1420"/>
      <c r="H48" s="1469"/>
      <c r="I48" s="1389"/>
      <c r="J48" s="1392"/>
      <c r="K48" s="514"/>
      <c r="L48" s="516"/>
      <c r="M48" s="516"/>
      <c r="N48" s="516"/>
      <c r="O48" s="516">
        <v>621</v>
      </c>
      <c r="P48" s="511"/>
      <c r="Q48" s="511"/>
      <c r="R48" s="512"/>
      <c r="S48" s="513"/>
      <c r="T48" s="514"/>
      <c r="U48" s="514"/>
      <c r="V48" s="511"/>
      <c r="W48" s="508"/>
      <c r="X48" s="513"/>
      <c r="Y48" s="515"/>
      <c r="Z48" s="514"/>
      <c r="AA48" s="516"/>
      <c r="AB48" s="516"/>
      <c r="AC48" s="511"/>
      <c r="AD48" s="513"/>
    </row>
    <row r="49" spans="2:30" s="1" customFormat="1" ht="13.5" thickBot="1">
      <c r="B49" s="1440" t="s">
        <v>152</v>
      </c>
      <c r="C49" s="1441"/>
      <c r="D49" s="1442">
        <v>40</v>
      </c>
      <c r="E49" s="1443">
        <f>D49/$D$88</f>
        <v>0.04860267314702309</v>
      </c>
      <c r="F49" s="1415">
        <f>COUNTA(K49:AD51)</f>
        <v>10</v>
      </c>
      <c r="G49" s="1418">
        <f>F49/D49</f>
        <v>0.25</v>
      </c>
      <c r="H49" s="1467">
        <f>$K$5*COUNTA(K49:K51)+$L$5*COUNTA(L49:L51)+$M$5*COUNTA(M49:M51)+$O$5*COUNTA(O49:O51)+$P$5*COUNTA(P49:P51)+$Q$5*COUNTA(Q49:Q51)+$R$5*COUNTA(R49:R51)+$S$5*COUNTA(S49:S51)+$T$5*COUNTA(T49:T51)+$U$5*COUNTA(U49:U51)+$V$5*COUNTA(V49:V51)+$W$5*COUNTA(W49:W51)+$X$5*COUNTA(X49:X51)+$Y$5*COUNTA(Y49:Y51)+$Z$5*COUNTA(Z49:Z51)+$AA$5*COUNTA(AA49:AA51)+$AB$5*COUNTA(AB49:AB51)+$AC$5*COUNTA(AC49:AC51)+$AD$5*COUNTA(AD49:AD51)</f>
        <v>2664.27</v>
      </c>
      <c r="I49" s="1387">
        <f>H49/H88</f>
        <v>0.047081698791427117</v>
      </c>
      <c r="J49" s="1390">
        <f>H49/D49</f>
        <v>66.60675</v>
      </c>
      <c r="K49" s="484"/>
      <c r="L49" s="485"/>
      <c r="M49" s="485">
        <v>383</v>
      </c>
      <c r="N49" s="485"/>
      <c r="O49" s="485">
        <v>1557</v>
      </c>
      <c r="P49" s="487">
        <v>157</v>
      </c>
      <c r="Q49" s="487">
        <v>837</v>
      </c>
      <c r="R49" s="488"/>
      <c r="S49" s="489"/>
      <c r="T49" s="484"/>
      <c r="U49" s="484"/>
      <c r="V49" s="487"/>
      <c r="W49" s="506"/>
      <c r="X49" s="489"/>
      <c r="Y49" s="490">
        <v>1543</v>
      </c>
      <c r="Z49" s="484"/>
      <c r="AA49" s="485"/>
      <c r="AB49" s="485">
        <v>415</v>
      </c>
      <c r="AC49" s="487"/>
      <c r="AD49" s="489"/>
    </row>
    <row r="50" spans="2:30" s="1" customFormat="1" ht="13.5" thickBot="1">
      <c r="B50" s="1440"/>
      <c r="C50" s="1441"/>
      <c r="D50" s="1442"/>
      <c r="E50" s="1443"/>
      <c r="F50" s="1416"/>
      <c r="G50" s="1419"/>
      <c r="H50" s="1468"/>
      <c r="I50" s="1388"/>
      <c r="J50" s="1391"/>
      <c r="K50" s="514">
        <v>3</v>
      </c>
      <c r="L50" s="516"/>
      <c r="M50" s="516"/>
      <c r="N50" s="516"/>
      <c r="O50" s="516">
        <v>438</v>
      </c>
      <c r="P50" s="511"/>
      <c r="Q50" s="511"/>
      <c r="R50" s="512"/>
      <c r="S50" s="513"/>
      <c r="T50" s="514"/>
      <c r="U50" s="514"/>
      <c r="V50" s="511"/>
      <c r="W50" s="508"/>
      <c r="X50" s="513"/>
      <c r="Y50" s="515"/>
      <c r="Z50" s="514"/>
      <c r="AA50" s="516"/>
      <c r="AB50" s="516">
        <v>839</v>
      </c>
      <c r="AC50" s="511"/>
      <c r="AD50" s="513"/>
    </row>
    <row r="51" spans="2:30" s="1" customFormat="1" ht="13.5" thickBot="1">
      <c r="B51" s="1440"/>
      <c r="C51" s="1441"/>
      <c r="D51" s="1442"/>
      <c r="E51" s="1443"/>
      <c r="F51" s="1416"/>
      <c r="G51" s="1419"/>
      <c r="H51" s="1469"/>
      <c r="I51" s="1388"/>
      <c r="J51" s="1392"/>
      <c r="K51" s="540"/>
      <c r="L51" s="541"/>
      <c r="M51" s="541"/>
      <c r="N51" s="541"/>
      <c r="O51" s="541">
        <v>450</v>
      </c>
      <c r="P51" s="542"/>
      <c r="Q51" s="542"/>
      <c r="R51" s="543"/>
      <c r="S51" s="544"/>
      <c r="T51" s="540"/>
      <c r="U51" s="540"/>
      <c r="V51" s="542"/>
      <c r="W51" s="552"/>
      <c r="X51" s="544"/>
      <c r="Y51" s="545"/>
      <c r="Z51" s="540"/>
      <c r="AA51" s="541"/>
      <c r="AB51" s="541"/>
      <c r="AC51" s="542"/>
      <c r="AD51" s="544"/>
    </row>
    <row r="52" spans="2:30" s="1" customFormat="1" ht="13.5" thickBot="1">
      <c r="B52" s="1444" t="s">
        <v>153</v>
      </c>
      <c r="C52" s="1445"/>
      <c r="D52" s="1442">
        <v>20</v>
      </c>
      <c r="E52" s="1443">
        <f>D52/$D$88</f>
        <v>0.024301336573511544</v>
      </c>
      <c r="F52" s="1415">
        <f>COUNTA(K52:AD54)</f>
        <v>4</v>
      </c>
      <c r="G52" s="1418">
        <f>F52/D52</f>
        <v>0.2</v>
      </c>
      <c r="H52" s="1467">
        <f>$K$5*COUNTA(K52:K54)+$L$5*COUNTA(L52:L54)+$M$5*COUNTA(M52:M54)+$O$5*COUNTA(O52:O54)+$P$5*COUNTA(P52:P54)+$Q$5*COUNTA(Q52:Q54)+$R$5*COUNTA(R52:R54)+$S$5*COUNTA(S52:S54)+$T$5*COUNTA(T52:T54)+$U$5*COUNTA(U52:U54)+$V$5*COUNTA(V52:V54)+$W$5*COUNTA(W52:W54)+$X$5*COUNTA(X52:X54)+$Y$5*COUNTA(Y52:Y54)+$Z$5*COUNTA(Z52:Z54)+$AA$5*COUNTA(AA52:AA54)+$AB$5*COUNTA(AB52:AB54)+$AC$5*COUNTA(AC52:AC54)+$AD$5*COUNTA(AD52:AD54)</f>
        <v>1070.24</v>
      </c>
      <c r="I52" s="1387">
        <f>H52/H88</f>
        <v>0.018912766842150742</v>
      </c>
      <c r="J52" s="1391">
        <f>H52/D52</f>
        <v>53.512</v>
      </c>
      <c r="K52" s="484"/>
      <c r="L52" s="485"/>
      <c r="M52" s="485"/>
      <c r="N52" s="485"/>
      <c r="O52" s="485">
        <v>506</v>
      </c>
      <c r="P52" s="487"/>
      <c r="Q52" s="487"/>
      <c r="R52" s="488"/>
      <c r="S52" s="489"/>
      <c r="T52" s="484">
        <v>605</v>
      </c>
      <c r="U52" s="484"/>
      <c r="V52" s="487">
        <v>967</v>
      </c>
      <c r="W52" s="506"/>
      <c r="X52" s="489"/>
      <c r="Y52" s="490"/>
      <c r="Z52" s="484"/>
      <c r="AA52" s="485">
        <v>922</v>
      </c>
      <c r="AB52" s="485"/>
      <c r="AC52" s="487"/>
      <c r="AD52" s="489"/>
    </row>
    <row r="53" spans="2:30" s="1" customFormat="1" ht="13.5" thickBot="1">
      <c r="B53" s="1444"/>
      <c r="C53" s="1445"/>
      <c r="D53" s="1442"/>
      <c r="E53" s="1443"/>
      <c r="F53" s="1416"/>
      <c r="G53" s="1419"/>
      <c r="H53" s="1468"/>
      <c r="I53" s="1388"/>
      <c r="J53" s="1391"/>
      <c r="K53" s="491"/>
      <c r="L53" s="492"/>
      <c r="M53" s="492"/>
      <c r="N53" s="492"/>
      <c r="O53" s="492"/>
      <c r="P53" s="494"/>
      <c r="Q53" s="494"/>
      <c r="R53" s="495"/>
      <c r="S53" s="496"/>
      <c r="T53" s="491"/>
      <c r="U53" s="491"/>
      <c r="V53" s="494"/>
      <c r="W53" s="584"/>
      <c r="X53" s="496"/>
      <c r="Y53" s="497"/>
      <c r="Z53" s="491"/>
      <c r="AA53" s="492"/>
      <c r="AB53" s="492"/>
      <c r="AC53" s="494"/>
      <c r="AD53" s="496"/>
    </row>
    <row r="54" spans="1:30" s="6" customFormat="1" ht="13.5" thickBot="1">
      <c r="A54" s="1"/>
      <c r="B54" s="1444"/>
      <c r="C54" s="1445"/>
      <c r="D54" s="1442"/>
      <c r="E54" s="1443"/>
      <c r="F54" s="1417"/>
      <c r="G54" s="1420"/>
      <c r="H54" s="1469"/>
      <c r="I54" s="1389"/>
      <c r="J54" s="1391"/>
      <c r="K54" s="498"/>
      <c r="L54" s="499"/>
      <c r="M54" s="505"/>
      <c r="N54" s="505"/>
      <c r="O54" s="505"/>
      <c r="P54" s="501"/>
      <c r="Q54" s="501"/>
      <c r="R54" s="502"/>
      <c r="S54" s="503"/>
      <c r="T54" s="498"/>
      <c r="U54" s="498"/>
      <c r="V54" s="501"/>
      <c r="W54" s="538"/>
      <c r="X54" s="503"/>
      <c r="Y54" s="504"/>
      <c r="Z54" s="498"/>
      <c r="AA54" s="505"/>
      <c r="AB54" s="505"/>
      <c r="AC54" s="501"/>
      <c r="AD54" s="503"/>
    </row>
    <row r="55" spans="2:30" s="1" customFormat="1" ht="13.5" thickBot="1">
      <c r="B55" s="1444" t="s">
        <v>154</v>
      </c>
      <c r="C55" s="1445"/>
      <c r="D55" s="1442">
        <v>21</v>
      </c>
      <c r="E55" s="1443">
        <f>D55/$D$88</f>
        <v>0.02551640340218712</v>
      </c>
      <c r="F55" s="1415">
        <f>COUNTA(K55:AD57)</f>
        <v>4</v>
      </c>
      <c r="G55" s="1418">
        <f>F55/D55</f>
        <v>0.19047619047619047</v>
      </c>
      <c r="H55" s="1467">
        <f>$K$5*COUNTA(K55:K57)+$L$5*COUNTA(L55:L57)+$M$5*COUNTA(M55:M57)+$O$5*COUNTA(O55:O57)+$P$5*COUNTA(P55:P57)+$Q$5*COUNTA(Q55:Q57)+$R$5*COUNTA(R55:R57)+$S$5*COUNTA(S55:S57)+$T$5*COUNTA(T55:T57)+$U$5*COUNTA(U55:U57)+$V$5*COUNTA(V55:V57)+$W$5*COUNTA(W55:W57)+$X$5*COUNTA(X55:X57)+$Y$5*COUNTA(Y55:Y57)+$Z$5*COUNTA(Z55:Z57)+$AA$5*COUNTA(AA55:AA57)+$AB$5*COUNTA(AB55:AB57)+$AC$5*COUNTA(AC55:AC57)+$AD$5*COUNTA(AD55:AD57)</f>
        <v>1938.68</v>
      </c>
      <c r="I55" s="1387">
        <f>H55/H88</f>
        <v>0.034259421084561224</v>
      </c>
      <c r="J55" s="1390">
        <f>H55/D55</f>
        <v>92.31809523809524</v>
      </c>
      <c r="K55" s="484">
        <v>364</v>
      </c>
      <c r="L55" s="485"/>
      <c r="M55" s="485"/>
      <c r="N55" s="485"/>
      <c r="O55" s="485">
        <v>955</v>
      </c>
      <c r="P55" s="487"/>
      <c r="Q55" s="487"/>
      <c r="R55" s="488">
        <v>173</v>
      </c>
      <c r="S55" s="489"/>
      <c r="T55" s="484"/>
      <c r="U55" s="484"/>
      <c r="V55" s="487">
        <v>233</v>
      </c>
      <c r="W55" s="506"/>
      <c r="X55" s="489"/>
      <c r="Y55" s="490"/>
      <c r="Z55" s="484"/>
      <c r="AA55" s="485"/>
      <c r="AB55" s="485"/>
      <c r="AC55" s="487"/>
      <c r="AD55" s="489"/>
    </row>
    <row r="56" spans="2:30" s="1" customFormat="1" ht="13.5" thickBot="1">
      <c r="B56" s="1444"/>
      <c r="C56" s="1445"/>
      <c r="D56" s="1442"/>
      <c r="E56" s="1443"/>
      <c r="F56" s="1416"/>
      <c r="G56" s="1419"/>
      <c r="H56" s="1468"/>
      <c r="I56" s="1388"/>
      <c r="J56" s="1391"/>
      <c r="K56" s="491"/>
      <c r="L56" s="492"/>
      <c r="M56" s="492"/>
      <c r="N56" s="492"/>
      <c r="O56" s="492"/>
      <c r="P56" s="494"/>
      <c r="Q56" s="494"/>
      <c r="R56" s="495"/>
      <c r="S56" s="496"/>
      <c r="T56" s="491"/>
      <c r="U56" s="491"/>
      <c r="V56" s="494"/>
      <c r="W56" s="584"/>
      <c r="X56" s="496"/>
      <c r="Y56" s="497"/>
      <c r="Z56" s="491"/>
      <c r="AA56" s="492"/>
      <c r="AB56" s="492"/>
      <c r="AC56" s="494"/>
      <c r="AD56" s="496"/>
    </row>
    <row r="57" spans="1:30" s="6" customFormat="1" ht="13.5" thickBot="1">
      <c r="A57" s="1"/>
      <c r="B57" s="1444"/>
      <c r="C57" s="1445"/>
      <c r="D57" s="1442"/>
      <c r="E57" s="1443"/>
      <c r="F57" s="1417"/>
      <c r="G57" s="1420"/>
      <c r="H57" s="1469"/>
      <c r="I57" s="1389"/>
      <c r="J57" s="1392"/>
      <c r="K57" s="498"/>
      <c r="L57" s="499"/>
      <c r="M57" s="505"/>
      <c r="N57" s="505"/>
      <c r="O57" s="505"/>
      <c r="P57" s="501"/>
      <c r="Q57" s="501"/>
      <c r="R57" s="502"/>
      <c r="S57" s="503"/>
      <c r="T57" s="498"/>
      <c r="U57" s="498"/>
      <c r="V57" s="501"/>
      <c r="W57" s="538"/>
      <c r="X57" s="503"/>
      <c r="Y57" s="504"/>
      <c r="Z57" s="498"/>
      <c r="AA57" s="505"/>
      <c r="AB57" s="505"/>
      <c r="AC57" s="501"/>
      <c r="AD57" s="503"/>
    </row>
    <row r="58" spans="2:30" s="1" customFormat="1" ht="13.5" thickBot="1">
      <c r="B58" s="1440" t="s">
        <v>155</v>
      </c>
      <c r="C58" s="1441"/>
      <c r="D58" s="1442">
        <v>37</v>
      </c>
      <c r="E58" s="1443">
        <f>D58/$D$88</f>
        <v>0.04495747266099635</v>
      </c>
      <c r="F58" s="1415">
        <f>COUNTA(K58:AD62)</f>
        <v>7</v>
      </c>
      <c r="G58" s="1418">
        <f>F58/D58</f>
        <v>0.1891891891891892</v>
      </c>
      <c r="H58" s="1467">
        <f>$K$5*COUNTA(K58:K62)+$L$5*COUNTA(L58:L62)+$M$5*COUNTA(M58:M62)+$O$5*COUNTA(O58:O62)+$P$5*COUNTA(P58:P62)+$Q$5*COUNTA(Q58:Q62)+$R$5*COUNTA(R58:R62)+$S$5*COUNTA(S58:S62)+$T$5*COUNTA(T58:T62)+$U$5*COUNTA(U58:U62)+$V$5*COUNTA(V58:V62)+$W$5*COUNTA(W58:W62)+$X$5*COUNTA(X58:X62)+$Y$5*COUNTA(Y58:Y62)+$Z$5*COUNTA(Z58:Z62)+$AA$5*COUNTA(AA58:AA62)+$AB$5*COUNTA(AB58:AB62)+$AC$5*COUNTA(AC58:AC62)+$AD$5*COUNTA(AD58:AD62)</f>
        <v>2126.85</v>
      </c>
      <c r="I58" s="1387">
        <f>H58/H88</f>
        <v>0.03758467087590476</v>
      </c>
      <c r="J58" s="1390">
        <f>H58/D58</f>
        <v>57.48243243243243</v>
      </c>
      <c r="K58" s="484">
        <v>545</v>
      </c>
      <c r="L58" s="485"/>
      <c r="M58" s="485"/>
      <c r="N58" s="485"/>
      <c r="O58" s="485"/>
      <c r="P58" s="487"/>
      <c r="Q58" s="487"/>
      <c r="R58" s="488"/>
      <c r="S58" s="489"/>
      <c r="T58" s="484"/>
      <c r="U58" s="484"/>
      <c r="V58" s="487">
        <v>70</v>
      </c>
      <c r="W58" s="506"/>
      <c r="X58" s="489"/>
      <c r="Y58" s="490"/>
      <c r="Z58" s="484"/>
      <c r="AA58" s="485">
        <v>17</v>
      </c>
      <c r="AB58" s="485"/>
      <c r="AC58" s="487"/>
      <c r="AD58" s="489"/>
    </row>
    <row r="59" spans="2:30" s="1" customFormat="1" ht="13.5" thickBot="1">
      <c r="B59" s="1440"/>
      <c r="C59" s="1441"/>
      <c r="D59" s="1442"/>
      <c r="E59" s="1443"/>
      <c r="F59" s="1416"/>
      <c r="G59" s="1419"/>
      <c r="H59" s="1468"/>
      <c r="I59" s="1388"/>
      <c r="J59" s="1391"/>
      <c r="K59" s="523">
        <v>986</v>
      </c>
      <c r="L59" s="524"/>
      <c r="M59" s="524"/>
      <c r="N59" s="524"/>
      <c r="O59" s="524">
        <v>425</v>
      </c>
      <c r="P59" s="525"/>
      <c r="Q59" s="525"/>
      <c r="R59" s="526"/>
      <c r="S59" s="527"/>
      <c r="T59" s="523"/>
      <c r="U59" s="523"/>
      <c r="V59" s="525"/>
      <c r="W59" s="551"/>
      <c r="X59" s="527"/>
      <c r="Y59" s="528"/>
      <c r="Z59" s="523"/>
      <c r="AA59" s="524"/>
      <c r="AB59" s="524"/>
      <c r="AC59" s="525"/>
      <c r="AD59" s="527"/>
    </row>
    <row r="60" spans="2:30" s="1" customFormat="1" ht="13.5" thickBot="1">
      <c r="B60" s="1440"/>
      <c r="C60" s="1441"/>
      <c r="D60" s="1442"/>
      <c r="E60" s="1443"/>
      <c r="F60" s="1416"/>
      <c r="G60" s="1419"/>
      <c r="H60" s="1468"/>
      <c r="I60" s="1388"/>
      <c r="J60" s="1391"/>
      <c r="K60" s="523"/>
      <c r="L60" s="524"/>
      <c r="M60" s="524"/>
      <c r="N60" s="524"/>
      <c r="O60" s="524">
        <v>552</v>
      </c>
      <c r="P60" s="525"/>
      <c r="Q60" s="525"/>
      <c r="R60" s="526"/>
      <c r="S60" s="527"/>
      <c r="T60" s="523"/>
      <c r="U60" s="523"/>
      <c r="V60" s="525"/>
      <c r="W60" s="551">
        <v>689</v>
      </c>
      <c r="X60" s="527"/>
      <c r="Y60" s="528"/>
      <c r="Z60" s="523"/>
      <c r="AA60" s="524"/>
      <c r="AB60" s="524"/>
      <c r="AC60" s="525"/>
      <c r="AD60" s="527"/>
    </row>
    <row r="61" spans="2:30" s="1" customFormat="1" ht="13.5" thickBot="1">
      <c r="B61" s="1440"/>
      <c r="C61" s="1441"/>
      <c r="D61" s="1442"/>
      <c r="E61" s="1443"/>
      <c r="F61" s="1416"/>
      <c r="G61" s="1419"/>
      <c r="H61" s="1468"/>
      <c r="I61" s="1388"/>
      <c r="J61" s="1391"/>
      <c r="K61" s="508"/>
      <c r="L61" s="516"/>
      <c r="M61" s="516"/>
      <c r="N61" s="516"/>
      <c r="O61" s="516"/>
      <c r="P61" s="511"/>
      <c r="Q61" s="511"/>
      <c r="R61" s="512"/>
      <c r="S61" s="513"/>
      <c r="T61" s="514"/>
      <c r="U61" s="514"/>
      <c r="V61" s="511"/>
      <c r="W61" s="508"/>
      <c r="X61" s="513"/>
      <c r="Y61" s="515"/>
      <c r="Z61" s="514"/>
      <c r="AA61" s="516"/>
      <c r="AB61" s="516"/>
      <c r="AC61" s="511"/>
      <c r="AD61" s="513"/>
    </row>
    <row r="62" spans="2:30" s="1" customFormat="1" ht="13.5" thickBot="1">
      <c r="B62" s="1440"/>
      <c r="C62" s="1441"/>
      <c r="D62" s="1442"/>
      <c r="E62" s="1443"/>
      <c r="F62" s="1417"/>
      <c r="G62" s="1420"/>
      <c r="H62" s="1469"/>
      <c r="I62" s="1389"/>
      <c r="J62" s="1392"/>
      <c r="K62" s="498"/>
      <c r="L62" s="499"/>
      <c r="M62" s="505"/>
      <c r="N62" s="505"/>
      <c r="O62" s="505"/>
      <c r="P62" s="501"/>
      <c r="Q62" s="501"/>
      <c r="R62" s="502"/>
      <c r="S62" s="503"/>
      <c r="T62" s="498"/>
      <c r="U62" s="498"/>
      <c r="V62" s="501"/>
      <c r="W62" s="538"/>
      <c r="X62" s="503"/>
      <c r="Y62" s="504"/>
      <c r="Z62" s="498"/>
      <c r="AA62" s="505"/>
      <c r="AB62" s="505"/>
      <c r="AC62" s="501"/>
      <c r="AD62" s="503"/>
    </row>
    <row r="63" spans="2:31" s="1" customFormat="1" ht="13.5" thickBot="1">
      <c r="B63" s="1440" t="s">
        <v>156</v>
      </c>
      <c r="C63" s="1441"/>
      <c r="D63" s="1442">
        <v>26</v>
      </c>
      <c r="E63" s="1443">
        <f>D63/$D$88</f>
        <v>0.031591737545565005</v>
      </c>
      <c r="F63" s="1415">
        <f>COUNTA(K63:AD65)</f>
        <v>7</v>
      </c>
      <c r="G63" s="1418">
        <f>F63/D63</f>
        <v>0.2692307692307692</v>
      </c>
      <c r="H63" s="1467">
        <f>$K$5*COUNTA(K63:K65)+$L$5*COUNTA(L63:L65)+$M$5*COUNTA(M63:M65)+$O$5*COUNTA(O63:O65)+$P$5*COUNTA(P63:P65)+$Q$5*COUNTA(Q63:Q65)+$R$5*COUNTA(R63:R65)+$S$5*COUNTA(S63:S65)+$T$5*COUNTA(T63:T65)+$U$5*COUNTA(U63:U65)+$V$5*COUNTA(V63:V65)+$W$5*COUNTA(W63:W65)+$X$5*COUNTA(X63:X65)+$Y$5*COUNTA(Y63:Y65)+$Z$5*COUNTA(Z63:Z65)+$AA$5*COUNTA(AA63:AA65)+$AB$5*COUNTA(AB63:AB65)+$AC$5*COUNTA(AC63:AC65)+$AD$5*COUNTA(AD63:AD65)</f>
        <v>1747.4399999999998</v>
      </c>
      <c r="I63" s="1387">
        <f>H63/H88</f>
        <v>0.030879919728890613</v>
      </c>
      <c r="J63" s="1390">
        <f>H63/D63</f>
        <v>67.20923076923076</v>
      </c>
      <c r="K63" s="484">
        <v>470</v>
      </c>
      <c r="L63" s="485"/>
      <c r="M63" s="485">
        <v>91</v>
      </c>
      <c r="N63" s="485"/>
      <c r="O63" s="485"/>
      <c r="P63" s="487"/>
      <c r="Q63" s="487"/>
      <c r="R63" s="488"/>
      <c r="S63" s="489"/>
      <c r="T63" s="484"/>
      <c r="U63" s="484"/>
      <c r="V63" s="487"/>
      <c r="W63" s="506"/>
      <c r="X63" s="489">
        <v>663</v>
      </c>
      <c r="Y63" s="490"/>
      <c r="Z63" s="484"/>
      <c r="AA63" s="485">
        <v>41</v>
      </c>
      <c r="AB63" s="485"/>
      <c r="AC63" s="487"/>
      <c r="AD63" s="489">
        <v>344</v>
      </c>
      <c r="AE63" s="393"/>
    </row>
    <row r="64" spans="2:31" s="1" customFormat="1" ht="13.5" thickBot="1">
      <c r="B64" s="1440"/>
      <c r="C64" s="1441"/>
      <c r="D64" s="1442"/>
      <c r="E64" s="1443"/>
      <c r="F64" s="1416"/>
      <c r="G64" s="1419"/>
      <c r="H64" s="1468"/>
      <c r="I64" s="1388"/>
      <c r="J64" s="1391"/>
      <c r="K64" s="523"/>
      <c r="L64" s="524"/>
      <c r="M64" s="524"/>
      <c r="N64" s="524"/>
      <c r="O64" s="524"/>
      <c r="P64" s="525"/>
      <c r="Q64" s="525"/>
      <c r="R64" s="526"/>
      <c r="S64" s="527"/>
      <c r="T64" s="523"/>
      <c r="U64" s="523"/>
      <c r="V64" s="525"/>
      <c r="W64" s="551"/>
      <c r="X64" s="527"/>
      <c r="Y64" s="528"/>
      <c r="Z64" s="523"/>
      <c r="AA64" s="524">
        <v>421</v>
      </c>
      <c r="AB64" s="524"/>
      <c r="AC64" s="525"/>
      <c r="AD64" s="527"/>
      <c r="AE64" s="393"/>
    </row>
    <row r="65" spans="2:31" s="1" customFormat="1" ht="13.5" thickBot="1">
      <c r="B65" s="1440"/>
      <c r="C65" s="1441"/>
      <c r="D65" s="1442"/>
      <c r="E65" s="1443"/>
      <c r="F65" s="1416"/>
      <c r="G65" s="1419"/>
      <c r="H65" s="1468"/>
      <c r="I65" s="1388"/>
      <c r="J65" s="1391"/>
      <c r="K65" s="523"/>
      <c r="L65" s="524"/>
      <c r="M65" s="524"/>
      <c r="N65" s="524"/>
      <c r="O65" s="524">
        <v>323</v>
      </c>
      <c r="P65" s="525"/>
      <c r="Q65" s="525"/>
      <c r="R65" s="526"/>
      <c r="S65" s="527"/>
      <c r="T65" s="523"/>
      <c r="U65" s="523"/>
      <c r="V65" s="525"/>
      <c r="W65" s="551"/>
      <c r="X65" s="527"/>
      <c r="Y65" s="528"/>
      <c r="Z65" s="523"/>
      <c r="AA65" s="524"/>
      <c r="AB65" s="524"/>
      <c r="AC65" s="525"/>
      <c r="AD65" s="527"/>
      <c r="AE65" s="393"/>
    </row>
    <row r="66" spans="2:30" s="1" customFormat="1" ht="12.75">
      <c r="B66" s="1424" t="s">
        <v>157</v>
      </c>
      <c r="C66" s="1435"/>
      <c r="D66" s="1438">
        <v>37</v>
      </c>
      <c r="E66" s="1418">
        <f>D66/$D$88</f>
        <v>0.04495747266099635</v>
      </c>
      <c r="F66" s="1415">
        <f>COUNTA(K66:AD68)</f>
        <v>9</v>
      </c>
      <c r="G66" s="1418">
        <f>F66/D66</f>
        <v>0.24324324324324326</v>
      </c>
      <c r="H66" s="1467">
        <f>$K$5*COUNTA(K66:K68)+$L$5*COUNTA(L66:L68)+$M$5*COUNTA(M66:M68)+$O$5*COUNTA(O66:O68)+$P$5*COUNTA(P66:P68)+$Q$5*COUNTA(Q66:Q68)+$R$5*COUNTA(R66:R68)+$S$5*COUNTA(S66:S68)+$T$5*COUNTA(T66:T68)+$U$5*COUNTA(U66:U68)+$V$5*COUNTA(V66:V68)+$W$5*COUNTA(W66:W68)+$X$5*COUNTA(X66:X68)+$Y$5*COUNTA(Y66:Y68)+$Z$5*COUNTA(Z66:Z68)+$AA$5*COUNTA(AA66:AA68)+$AB$5*COUNTA(AB66:AB68)+$AC$5*COUNTA(AC66:AC68)+$AD$5*COUNTA(AD66:AD68)</f>
        <v>2523.04</v>
      </c>
      <c r="I66" s="1387">
        <f>H66/H88</f>
        <v>0.044585950117188675</v>
      </c>
      <c r="J66" s="1390">
        <f>H66/D66</f>
        <v>68.19027027027028</v>
      </c>
      <c r="K66" s="484"/>
      <c r="L66" s="485"/>
      <c r="M66" s="485">
        <v>263</v>
      </c>
      <c r="N66" s="485"/>
      <c r="O66" s="485">
        <v>382</v>
      </c>
      <c r="P66" s="487"/>
      <c r="Q66" s="487"/>
      <c r="R66" s="488"/>
      <c r="S66" s="489"/>
      <c r="T66" s="484"/>
      <c r="U66" s="484"/>
      <c r="V66" s="487">
        <v>633</v>
      </c>
      <c r="W66" s="506">
        <v>283</v>
      </c>
      <c r="X66" s="489"/>
      <c r="Y66" s="490"/>
      <c r="Z66" s="484"/>
      <c r="AA66" s="485">
        <v>476</v>
      </c>
      <c r="AB66" s="485"/>
      <c r="AC66" s="487"/>
      <c r="AD66" s="489"/>
    </row>
    <row r="67" spans="2:30" s="1" customFormat="1" ht="12.75">
      <c r="B67" s="1432"/>
      <c r="C67" s="1433"/>
      <c r="D67" s="1434"/>
      <c r="E67" s="1419"/>
      <c r="F67" s="1416"/>
      <c r="G67" s="1419"/>
      <c r="H67" s="1468"/>
      <c r="I67" s="1388"/>
      <c r="J67" s="1391"/>
      <c r="K67" s="523">
        <v>118</v>
      </c>
      <c r="L67" s="524"/>
      <c r="M67" s="524">
        <v>1528</v>
      </c>
      <c r="N67" s="524"/>
      <c r="O67" s="524">
        <v>1546</v>
      </c>
      <c r="P67" s="525"/>
      <c r="Q67" s="525"/>
      <c r="R67" s="526"/>
      <c r="S67" s="527"/>
      <c r="T67" s="523"/>
      <c r="U67" s="523"/>
      <c r="V67" s="525">
        <v>769</v>
      </c>
      <c r="W67" s="551"/>
      <c r="X67" s="527"/>
      <c r="Y67" s="528"/>
      <c r="Z67" s="523"/>
      <c r="AA67" s="524"/>
      <c r="AB67" s="524"/>
      <c r="AC67" s="525"/>
      <c r="AD67" s="527"/>
    </row>
    <row r="68" spans="2:30" s="1" customFormat="1" ht="13.5" thickBot="1">
      <c r="B68" s="1436"/>
      <c r="C68" s="1437"/>
      <c r="D68" s="1439"/>
      <c r="E68" s="1420"/>
      <c r="F68" s="1417"/>
      <c r="G68" s="1420"/>
      <c r="H68" s="1469"/>
      <c r="I68" s="1389"/>
      <c r="J68" s="1392"/>
      <c r="K68" s="514"/>
      <c r="L68" s="516"/>
      <c r="M68" s="516"/>
      <c r="N68" s="516"/>
      <c r="O68" s="516"/>
      <c r="P68" s="511"/>
      <c r="Q68" s="511"/>
      <c r="R68" s="512"/>
      <c r="S68" s="513"/>
      <c r="T68" s="514"/>
      <c r="U68" s="514"/>
      <c r="V68" s="511"/>
      <c r="W68" s="508"/>
      <c r="X68" s="513"/>
      <c r="Y68" s="515"/>
      <c r="Z68" s="514"/>
      <c r="AA68" s="516"/>
      <c r="AB68" s="516"/>
      <c r="AC68" s="511"/>
      <c r="AD68" s="513"/>
    </row>
    <row r="69" spans="2:30" s="1" customFormat="1" ht="12.75">
      <c r="B69" s="1432" t="s">
        <v>158</v>
      </c>
      <c r="C69" s="1433"/>
      <c r="D69" s="1434">
        <v>56</v>
      </c>
      <c r="E69" s="1419">
        <f>D69/$D$88</f>
        <v>0.06804374240583232</v>
      </c>
      <c r="F69" s="1415">
        <f>COUNTA(K69:AD73)</f>
        <v>13</v>
      </c>
      <c r="G69" s="1418">
        <f>F69/D69</f>
        <v>0.23214285714285715</v>
      </c>
      <c r="H69" s="1467">
        <f>$K$5*COUNTA(K69:K73)+$L$5*COUNTA(L69:L73)+$M$5*COUNTA(M69:M73)+$O$5*COUNTA(O69:O73)+$P$5*COUNTA(P69:P73)+$Q$5*COUNTA(Q69:Q73)+$R$5*COUNTA(R69:R73)+$S$5*COUNTA(S69:S73)+$T$5*COUNTA(T69:T73)+$U$5*COUNTA(U69:U73)+$V$5*COUNTA(V69:V73)+$W$5*COUNTA(W69:W73)+$X$5*COUNTA(X69:X73)+$Y$5*COUNTA(Y69:Y73)+$Z$5*COUNTA(Z69:Z73)+$AA$5*COUNTA(AA69:AA73)+$AB$5*COUNTA(AB69:AB73)+$AC$5*COUNTA(AC69:AC73)+$AD$5*COUNTA(AD69:AD73)</f>
        <v>4393.45</v>
      </c>
      <c r="I69" s="1387">
        <f>H69/H88</f>
        <v>0.07763893657744728</v>
      </c>
      <c r="J69" s="1390">
        <f>H69/D69</f>
        <v>78.45446428571428</v>
      </c>
      <c r="K69" s="484">
        <v>1536</v>
      </c>
      <c r="L69" s="485"/>
      <c r="M69" s="485">
        <v>23</v>
      </c>
      <c r="N69" s="485"/>
      <c r="O69" s="485">
        <v>668</v>
      </c>
      <c r="P69" s="487"/>
      <c r="Q69" s="487"/>
      <c r="R69" s="488"/>
      <c r="S69" s="489">
        <v>301</v>
      </c>
      <c r="T69" s="484"/>
      <c r="U69" s="484"/>
      <c r="V69" s="487">
        <v>171</v>
      </c>
      <c r="W69" s="506"/>
      <c r="X69" s="489"/>
      <c r="Y69" s="490">
        <v>1542</v>
      </c>
      <c r="Z69" s="484"/>
      <c r="AA69" s="485">
        <v>434</v>
      </c>
      <c r="AB69" s="485"/>
      <c r="AC69" s="487"/>
      <c r="AD69" s="489">
        <v>755</v>
      </c>
    </row>
    <row r="70" spans="2:30" s="1" customFormat="1" ht="12.75">
      <c r="B70" s="1432"/>
      <c r="C70" s="1433"/>
      <c r="D70" s="1434"/>
      <c r="E70" s="1419"/>
      <c r="F70" s="1416"/>
      <c r="G70" s="1419"/>
      <c r="H70" s="1468"/>
      <c r="I70" s="1388"/>
      <c r="J70" s="1391"/>
      <c r="K70" s="523"/>
      <c r="L70" s="524"/>
      <c r="M70" s="524"/>
      <c r="N70" s="524"/>
      <c r="O70" s="524">
        <v>953</v>
      </c>
      <c r="P70" s="525"/>
      <c r="Q70" s="525"/>
      <c r="R70" s="526"/>
      <c r="S70" s="527"/>
      <c r="T70" s="523"/>
      <c r="U70" s="523"/>
      <c r="V70" s="525">
        <v>165</v>
      </c>
      <c r="W70" s="551"/>
      <c r="X70" s="527"/>
      <c r="Y70" s="528"/>
      <c r="Z70" s="523"/>
      <c r="AA70" s="524"/>
      <c r="AB70" s="524"/>
      <c r="AC70" s="525"/>
      <c r="AD70" s="527"/>
    </row>
    <row r="71" spans="2:30" s="1" customFormat="1" ht="12.75">
      <c r="B71" s="1432"/>
      <c r="C71" s="1433"/>
      <c r="D71" s="1434"/>
      <c r="E71" s="1419"/>
      <c r="F71" s="1416"/>
      <c r="G71" s="1419"/>
      <c r="H71" s="1468"/>
      <c r="I71" s="1388"/>
      <c r="J71" s="1391"/>
      <c r="K71" s="523"/>
      <c r="L71" s="524"/>
      <c r="M71" s="524"/>
      <c r="N71" s="524"/>
      <c r="O71" s="524">
        <v>391</v>
      </c>
      <c r="P71" s="525"/>
      <c r="Q71" s="525"/>
      <c r="R71" s="526"/>
      <c r="S71" s="527"/>
      <c r="T71" s="523"/>
      <c r="U71" s="523"/>
      <c r="V71" s="525"/>
      <c r="W71" s="551"/>
      <c r="X71" s="527"/>
      <c r="Y71" s="528"/>
      <c r="Z71" s="523"/>
      <c r="AA71" s="524"/>
      <c r="AB71" s="524"/>
      <c r="AC71" s="525"/>
      <c r="AD71" s="527"/>
    </row>
    <row r="72" spans="2:30" s="1" customFormat="1" ht="12.75">
      <c r="B72" s="1432"/>
      <c r="C72" s="1433"/>
      <c r="D72" s="1434"/>
      <c r="E72" s="1419"/>
      <c r="F72" s="1416"/>
      <c r="G72" s="1419"/>
      <c r="H72" s="1468"/>
      <c r="I72" s="1388"/>
      <c r="J72" s="1391"/>
      <c r="K72" s="523"/>
      <c r="L72" s="524"/>
      <c r="M72" s="524"/>
      <c r="N72" s="524"/>
      <c r="O72" s="524">
        <v>168</v>
      </c>
      <c r="P72" s="525"/>
      <c r="Q72" s="525"/>
      <c r="R72" s="526"/>
      <c r="S72" s="527"/>
      <c r="T72" s="523"/>
      <c r="U72" s="523"/>
      <c r="V72" s="525"/>
      <c r="W72" s="551"/>
      <c r="X72" s="527"/>
      <c r="Y72" s="528"/>
      <c r="Z72" s="523"/>
      <c r="AA72" s="524"/>
      <c r="AB72" s="524"/>
      <c r="AC72" s="525"/>
      <c r="AD72" s="527"/>
    </row>
    <row r="73" spans="2:30" s="1" customFormat="1" ht="13.5" thickBot="1">
      <c r="B73" s="1432"/>
      <c r="C73" s="1433"/>
      <c r="D73" s="1434"/>
      <c r="E73" s="1419"/>
      <c r="F73" s="1416"/>
      <c r="G73" s="1419"/>
      <c r="H73" s="1469"/>
      <c r="I73" s="1388"/>
      <c r="J73" s="1391"/>
      <c r="K73" s="514"/>
      <c r="L73" s="516"/>
      <c r="M73" s="516"/>
      <c r="N73" s="516"/>
      <c r="O73" s="516">
        <v>169</v>
      </c>
      <c r="P73" s="511"/>
      <c r="Q73" s="511"/>
      <c r="R73" s="512"/>
      <c r="S73" s="513"/>
      <c r="T73" s="514"/>
      <c r="U73" s="514"/>
      <c r="V73" s="511"/>
      <c r="W73" s="508"/>
      <c r="X73" s="513"/>
      <c r="Y73" s="515"/>
      <c r="Z73" s="514"/>
      <c r="AA73" s="516"/>
      <c r="AB73" s="516"/>
      <c r="AC73" s="511"/>
      <c r="AD73" s="513"/>
    </row>
    <row r="74" spans="1:31" ht="12.75" customHeight="1">
      <c r="A74" s="5"/>
      <c r="B74" s="1424" t="s">
        <v>159</v>
      </c>
      <c r="C74" s="1538"/>
      <c r="D74" s="1415">
        <v>78</v>
      </c>
      <c r="E74" s="1418">
        <f>D74/$D$88</f>
        <v>0.09477521263669501</v>
      </c>
      <c r="F74" s="1415">
        <f>COUNTA(K74:AD80)</f>
        <v>17</v>
      </c>
      <c r="G74" s="1418">
        <f>F74/D74</f>
        <v>0.21794871794871795</v>
      </c>
      <c r="H74" s="1467">
        <f>$K$5*COUNTA(K74:K80)+$L$5*COUNTA(L74:L80)+$M$5*COUNTA(M74:M80)+$O$5*COUNTA(O74:O80)+$P$5*COUNTA(P74:P80)+$Q$5*COUNTA(Q74:Q80)+$R$5*COUNTA(R74:R80)+$S$5*COUNTA(S74:S80)+$T$5*COUNTA(T74:T80)+$U$5*COUNTA(U74:U80)+$V$5*COUNTA(V74:V80)+$W$5*COUNTA(W74:W80)+$X$5*COUNTA(X74:X80)+$Y$5*COUNTA(Y74:Y80)+$Z$5*COUNTA(Z74:Z80)+$AA$5*COUNTA(AA74:AA80)+$AB$5*COUNTA(AB74:AB80)+$AC$5*COUNTA(AC74:AC80)+$AD$5*COUNTA(AD74:AD80)</f>
        <v>4645.15</v>
      </c>
      <c r="I74" s="1387">
        <f>H74/H88</f>
        <v>0.08208685799149398</v>
      </c>
      <c r="J74" s="1390">
        <f>H74/D74</f>
        <v>59.55320512820512</v>
      </c>
      <c r="K74" s="484">
        <v>499</v>
      </c>
      <c r="L74" s="485"/>
      <c r="M74" s="485"/>
      <c r="N74" s="485"/>
      <c r="O74" s="485">
        <v>1576</v>
      </c>
      <c r="P74" s="487">
        <v>684</v>
      </c>
      <c r="Q74" s="487"/>
      <c r="R74" s="488"/>
      <c r="S74" s="489"/>
      <c r="T74" s="484"/>
      <c r="U74" s="484"/>
      <c r="V74" s="487">
        <v>475</v>
      </c>
      <c r="W74" s="506"/>
      <c r="X74" s="489"/>
      <c r="Y74" s="490">
        <v>547</v>
      </c>
      <c r="Z74" s="484"/>
      <c r="AA74" s="485">
        <v>322</v>
      </c>
      <c r="AB74" s="485"/>
      <c r="AC74" s="487"/>
      <c r="AD74" s="489">
        <v>375</v>
      </c>
      <c r="AE74" s="241"/>
    </row>
    <row r="75" spans="1:31" ht="12.75">
      <c r="A75" s="5"/>
      <c r="B75" s="1539"/>
      <c r="C75" s="1540"/>
      <c r="D75" s="1430"/>
      <c r="E75" s="1419"/>
      <c r="F75" s="1416"/>
      <c r="G75" s="1419"/>
      <c r="H75" s="1468"/>
      <c r="I75" s="1388"/>
      <c r="J75" s="1391"/>
      <c r="K75" s="523"/>
      <c r="L75" s="524"/>
      <c r="M75" s="524"/>
      <c r="N75" s="524"/>
      <c r="O75" s="524">
        <v>221</v>
      </c>
      <c r="P75" s="525"/>
      <c r="Q75" s="525"/>
      <c r="R75" s="526"/>
      <c r="S75" s="527"/>
      <c r="T75" s="523"/>
      <c r="U75" s="523"/>
      <c r="V75" s="525">
        <v>69</v>
      </c>
      <c r="W75" s="551"/>
      <c r="X75" s="527"/>
      <c r="Y75" s="528"/>
      <c r="Z75" s="523"/>
      <c r="AA75" s="524">
        <v>514</v>
      </c>
      <c r="AB75" s="524"/>
      <c r="AC75" s="525"/>
      <c r="AD75" s="527"/>
      <c r="AE75" s="241"/>
    </row>
    <row r="76" spans="1:31" ht="12.75">
      <c r="A76" s="5"/>
      <c r="B76" s="1539"/>
      <c r="C76" s="1540"/>
      <c r="D76" s="1430"/>
      <c r="E76" s="1419"/>
      <c r="F76" s="1416"/>
      <c r="G76" s="1419"/>
      <c r="H76" s="1468"/>
      <c r="I76" s="1388"/>
      <c r="J76" s="1391"/>
      <c r="K76" s="523"/>
      <c r="L76" s="524"/>
      <c r="M76" s="524"/>
      <c r="N76" s="524"/>
      <c r="O76" s="524"/>
      <c r="P76" s="525"/>
      <c r="Q76" s="525"/>
      <c r="R76" s="526"/>
      <c r="S76" s="527"/>
      <c r="T76" s="523"/>
      <c r="U76" s="523"/>
      <c r="V76" s="525">
        <v>315</v>
      </c>
      <c r="W76" s="551"/>
      <c r="X76" s="527"/>
      <c r="Y76" s="528"/>
      <c r="Z76" s="523"/>
      <c r="AA76" s="524">
        <v>46</v>
      </c>
      <c r="AB76" s="524"/>
      <c r="AC76" s="525"/>
      <c r="AD76" s="527"/>
      <c r="AE76" s="241"/>
    </row>
    <row r="77" spans="1:31" ht="12.75">
      <c r="A77" s="5"/>
      <c r="B77" s="1539"/>
      <c r="C77" s="1540"/>
      <c r="D77" s="1430"/>
      <c r="E77" s="1419"/>
      <c r="F77" s="1416"/>
      <c r="G77" s="1419"/>
      <c r="H77" s="1468"/>
      <c r="I77" s="1388"/>
      <c r="J77" s="1391"/>
      <c r="K77" s="523"/>
      <c r="L77" s="524"/>
      <c r="M77" s="524"/>
      <c r="N77" s="524"/>
      <c r="O77" s="524"/>
      <c r="P77" s="525"/>
      <c r="Q77" s="525"/>
      <c r="R77" s="526"/>
      <c r="S77" s="527"/>
      <c r="T77" s="523"/>
      <c r="U77" s="523"/>
      <c r="V77" s="525">
        <v>703</v>
      </c>
      <c r="W77" s="551"/>
      <c r="X77" s="527"/>
      <c r="Y77" s="528"/>
      <c r="Z77" s="523"/>
      <c r="AA77" s="524">
        <v>36</v>
      </c>
      <c r="AB77" s="524"/>
      <c r="AC77" s="525"/>
      <c r="AD77" s="527"/>
      <c r="AE77" s="241"/>
    </row>
    <row r="78" spans="1:31" ht="12.75">
      <c r="A78" s="5"/>
      <c r="B78" s="1539"/>
      <c r="C78" s="1540"/>
      <c r="D78" s="1430"/>
      <c r="E78" s="1419"/>
      <c r="F78" s="1416"/>
      <c r="G78" s="1419"/>
      <c r="H78" s="1468"/>
      <c r="I78" s="1388"/>
      <c r="J78" s="1391"/>
      <c r="K78" s="523"/>
      <c r="L78" s="524"/>
      <c r="M78" s="524"/>
      <c r="N78" s="524"/>
      <c r="O78" s="524"/>
      <c r="P78" s="525"/>
      <c r="Q78" s="525"/>
      <c r="R78" s="526"/>
      <c r="S78" s="527"/>
      <c r="T78" s="523"/>
      <c r="U78" s="523"/>
      <c r="V78" s="525"/>
      <c r="W78" s="551"/>
      <c r="X78" s="527"/>
      <c r="Y78" s="528"/>
      <c r="Z78" s="523"/>
      <c r="AA78" s="524">
        <v>52</v>
      </c>
      <c r="AB78" s="524"/>
      <c r="AC78" s="525"/>
      <c r="AD78" s="527"/>
      <c r="AE78" s="241"/>
    </row>
    <row r="79" spans="1:31" ht="12.75">
      <c r="A79" s="5"/>
      <c r="B79" s="1539"/>
      <c r="C79" s="1540"/>
      <c r="D79" s="1430"/>
      <c r="E79" s="1419"/>
      <c r="F79" s="1416"/>
      <c r="G79" s="1419"/>
      <c r="H79" s="1468"/>
      <c r="I79" s="1388"/>
      <c r="J79" s="1391"/>
      <c r="K79" s="523"/>
      <c r="L79" s="524"/>
      <c r="M79" s="524"/>
      <c r="N79" s="524"/>
      <c r="O79" s="524"/>
      <c r="P79" s="525"/>
      <c r="Q79" s="525"/>
      <c r="R79" s="526"/>
      <c r="S79" s="527"/>
      <c r="T79" s="523"/>
      <c r="U79" s="523"/>
      <c r="V79" s="525"/>
      <c r="W79" s="551"/>
      <c r="X79" s="527"/>
      <c r="Y79" s="528"/>
      <c r="Z79" s="523"/>
      <c r="AA79" s="524">
        <v>876</v>
      </c>
      <c r="AB79" s="524"/>
      <c r="AC79" s="525"/>
      <c r="AD79" s="527"/>
      <c r="AE79" s="241"/>
    </row>
    <row r="80" spans="1:31" ht="13.5" thickBot="1">
      <c r="A80" s="5"/>
      <c r="B80" s="1541"/>
      <c r="C80" s="1542"/>
      <c r="D80" s="1431"/>
      <c r="E80" s="1420"/>
      <c r="F80" s="1416"/>
      <c r="G80" s="1419"/>
      <c r="H80" s="1469"/>
      <c r="I80" s="1388"/>
      <c r="J80" s="1391"/>
      <c r="K80" s="514"/>
      <c r="L80" s="516"/>
      <c r="M80" s="516"/>
      <c r="N80" s="516"/>
      <c r="O80" s="516"/>
      <c r="P80" s="511"/>
      <c r="Q80" s="511"/>
      <c r="R80" s="512"/>
      <c r="S80" s="513"/>
      <c r="T80" s="514"/>
      <c r="U80" s="514"/>
      <c r="V80" s="511"/>
      <c r="W80" s="508"/>
      <c r="X80" s="513"/>
      <c r="Y80" s="515"/>
      <c r="Z80" s="514"/>
      <c r="AA80" s="516">
        <v>572</v>
      </c>
      <c r="AB80" s="516"/>
      <c r="AC80" s="511"/>
      <c r="AD80" s="513"/>
      <c r="AE80" s="241"/>
    </row>
    <row r="81" spans="1:30" s="6" customFormat="1" ht="12.75">
      <c r="A81" s="1"/>
      <c r="B81" s="1399" t="s">
        <v>160</v>
      </c>
      <c r="C81" s="1400"/>
      <c r="D81" s="1407">
        <v>83</v>
      </c>
      <c r="E81" s="1411">
        <f>D81/$D$88</f>
        <v>0.10085054678007291</v>
      </c>
      <c r="F81" s="1415">
        <f>COUNTA(K81:AD86)</f>
        <v>19</v>
      </c>
      <c r="G81" s="1418">
        <f>F81/D81</f>
        <v>0.2289156626506024</v>
      </c>
      <c r="H81" s="1467">
        <f>$K$5*COUNTA(K81:K86)+$L$5*COUNTA(L81:L86)+$M$5*COUNTA(M81:M86)+$O$5*COUNTA(O81:O86)+$P$5*COUNTA(P81:P86)+$Q$5*COUNTA(Q81:Q86)+$R$5*COUNTA(R81:R86)+$S$5*COUNTA(S81:S86)+$T$5*COUNTA(T81:T86)+$U$5*COUNTA(U81:U86)+$V$5*COUNTA(V81:V86)+$W$5*COUNTA(W81:W86)+$X$5*COUNTA(X81:X86)+$Y$5*COUNTA(Y81:Y86)+$Z$5*COUNTA(Z81:Z86)+$AA$5*COUNTA(AA81:AA86)+$AB$5*COUNTA(AB81:AB86)+$AC$5*COUNTA(AC81:AC86)+$AD$5*COUNTA(AD81:AD86)</f>
        <v>5953.249999999999</v>
      </c>
      <c r="I81" s="1387">
        <f>H81/H88</f>
        <v>0.10520297242023648</v>
      </c>
      <c r="J81" s="1390">
        <f>H81/D81</f>
        <v>71.72590361445782</v>
      </c>
      <c r="K81" s="484">
        <v>350</v>
      </c>
      <c r="L81" s="485"/>
      <c r="M81" s="485"/>
      <c r="N81" s="485"/>
      <c r="O81" s="485">
        <v>444</v>
      </c>
      <c r="P81" s="487">
        <v>756</v>
      </c>
      <c r="Q81" s="487"/>
      <c r="R81" s="488">
        <v>215</v>
      </c>
      <c r="S81" s="489"/>
      <c r="T81" s="484"/>
      <c r="U81" s="484"/>
      <c r="V81" s="487"/>
      <c r="W81" s="506">
        <v>767</v>
      </c>
      <c r="X81" s="489"/>
      <c r="Y81" s="531">
        <v>353</v>
      </c>
      <c r="Z81" s="506"/>
      <c r="AA81" s="485">
        <v>166</v>
      </c>
      <c r="AB81" s="485"/>
      <c r="AC81" s="487"/>
      <c r="AD81" s="489">
        <v>695</v>
      </c>
    </row>
    <row r="82" spans="1:30" s="6" customFormat="1" ht="12.75">
      <c r="A82" s="1"/>
      <c r="B82" s="1399"/>
      <c r="C82" s="1400"/>
      <c r="D82" s="1407"/>
      <c r="E82" s="1411"/>
      <c r="F82" s="1416"/>
      <c r="G82" s="1419"/>
      <c r="H82" s="1468"/>
      <c r="I82" s="1388"/>
      <c r="J82" s="1391"/>
      <c r="K82" s="523">
        <v>840</v>
      </c>
      <c r="L82" s="524"/>
      <c r="M82" s="524"/>
      <c r="N82" s="524"/>
      <c r="O82" s="524">
        <v>812</v>
      </c>
      <c r="P82" s="525"/>
      <c r="Q82" s="525"/>
      <c r="R82" s="526"/>
      <c r="S82" s="527"/>
      <c r="T82" s="523"/>
      <c r="U82" s="523"/>
      <c r="V82" s="525"/>
      <c r="W82" s="551">
        <v>894</v>
      </c>
      <c r="X82" s="527"/>
      <c r="Y82" s="627"/>
      <c r="Z82" s="551"/>
      <c r="AA82" s="524"/>
      <c r="AB82" s="524"/>
      <c r="AC82" s="525"/>
      <c r="AD82" s="527">
        <v>37</v>
      </c>
    </row>
    <row r="83" spans="1:30" s="6" customFormat="1" ht="12.75">
      <c r="A83" s="1"/>
      <c r="B83" s="1401"/>
      <c r="C83" s="1402"/>
      <c r="D83" s="1408"/>
      <c r="E83" s="1412"/>
      <c r="F83" s="1416"/>
      <c r="G83" s="1419"/>
      <c r="H83" s="1468"/>
      <c r="I83" s="1388"/>
      <c r="J83" s="1391"/>
      <c r="K83" s="514">
        <v>32</v>
      </c>
      <c r="L83" s="516"/>
      <c r="M83" s="516"/>
      <c r="N83" s="516"/>
      <c r="O83" s="516">
        <v>1583</v>
      </c>
      <c r="P83" s="511"/>
      <c r="Q83" s="511"/>
      <c r="R83" s="512"/>
      <c r="S83" s="513"/>
      <c r="T83" s="514"/>
      <c r="U83" s="514"/>
      <c r="V83" s="511"/>
      <c r="W83" s="508"/>
      <c r="X83" s="513"/>
      <c r="Y83" s="533"/>
      <c r="Z83" s="508"/>
      <c r="AA83" s="516"/>
      <c r="AB83" s="516"/>
      <c r="AC83" s="511"/>
      <c r="AD83" s="513">
        <v>979</v>
      </c>
    </row>
    <row r="84" spans="1:30" s="6" customFormat="1" ht="12.75">
      <c r="A84" s="1"/>
      <c r="B84" s="1403"/>
      <c r="C84" s="1404"/>
      <c r="D84" s="1409"/>
      <c r="E84" s="1413"/>
      <c r="F84" s="1416"/>
      <c r="G84" s="1419"/>
      <c r="H84" s="1468"/>
      <c r="I84" s="1388"/>
      <c r="J84" s="1391"/>
      <c r="K84" s="540"/>
      <c r="L84" s="541"/>
      <c r="M84" s="541"/>
      <c r="N84" s="541"/>
      <c r="O84" s="541">
        <v>978</v>
      </c>
      <c r="P84" s="542"/>
      <c r="Q84" s="542"/>
      <c r="R84" s="543"/>
      <c r="S84" s="544"/>
      <c r="T84" s="540"/>
      <c r="U84" s="540"/>
      <c r="V84" s="542"/>
      <c r="W84" s="552"/>
      <c r="X84" s="544"/>
      <c r="Y84" s="553"/>
      <c r="Z84" s="552"/>
      <c r="AA84" s="541"/>
      <c r="AB84" s="541"/>
      <c r="AC84" s="542"/>
      <c r="AD84" s="544">
        <v>489</v>
      </c>
    </row>
    <row r="85" spans="1:30" s="6" customFormat="1" ht="12.75">
      <c r="A85" s="1"/>
      <c r="B85" s="1403"/>
      <c r="C85" s="1404"/>
      <c r="D85" s="1409"/>
      <c r="E85" s="1413"/>
      <c r="F85" s="1416"/>
      <c r="G85" s="1419"/>
      <c r="H85" s="1468"/>
      <c r="I85" s="1388"/>
      <c r="J85" s="1391"/>
      <c r="K85" s="540"/>
      <c r="L85" s="541"/>
      <c r="M85" s="541"/>
      <c r="N85" s="541"/>
      <c r="O85" s="541"/>
      <c r="P85" s="542"/>
      <c r="Q85" s="542"/>
      <c r="R85" s="543"/>
      <c r="S85" s="544"/>
      <c r="T85" s="540"/>
      <c r="U85" s="540"/>
      <c r="V85" s="542"/>
      <c r="W85" s="552"/>
      <c r="X85" s="544"/>
      <c r="Y85" s="553"/>
      <c r="Z85" s="552"/>
      <c r="AA85" s="541"/>
      <c r="AB85" s="541"/>
      <c r="AC85" s="542"/>
      <c r="AD85" s="544">
        <v>569</v>
      </c>
    </row>
    <row r="86" spans="1:30" s="6" customFormat="1" ht="13.5" thickBot="1">
      <c r="A86" s="1"/>
      <c r="B86" s="1405"/>
      <c r="C86" s="1406"/>
      <c r="D86" s="1410"/>
      <c r="E86" s="1414"/>
      <c r="F86" s="1417"/>
      <c r="G86" s="1420"/>
      <c r="H86" s="1469"/>
      <c r="I86" s="1389"/>
      <c r="J86" s="1392"/>
      <c r="K86" s="498"/>
      <c r="L86" s="505"/>
      <c r="M86" s="505"/>
      <c r="N86" s="505"/>
      <c r="O86" s="505"/>
      <c r="P86" s="501"/>
      <c r="Q86" s="501"/>
      <c r="R86" s="502"/>
      <c r="S86" s="503"/>
      <c r="T86" s="498"/>
      <c r="U86" s="498"/>
      <c r="V86" s="501"/>
      <c r="W86" s="538"/>
      <c r="X86" s="503"/>
      <c r="Y86" s="554"/>
      <c r="Z86" s="538"/>
      <c r="AA86" s="505"/>
      <c r="AB86" s="505"/>
      <c r="AC86" s="501"/>
      <c r="AD86" s="503">
        <v>5</v>
      </c>
    </row>
    <row r="87" spans="1:30" ht="25.5" customHeight="1" thickBot="1">
      <c r="A87" s="5"/>
      <c r="B87" s="1393" t="s">
        <v>45</v>
      </c>
      <c r="C87" s="1394"/>
      <c r="D87" s="555"/>
      <c r="E87" s="556"/>
      <c r="F87" s="555"/>
      <c r="G87" s="556"/>
      <c r="H87" s="557"/>
      <c r="I87" s="558"/>
      <c r="J87" s="558"/>
      <c r="K87" s="559">
        <f aca="true" t="shared" si="0" ref="K87:AD87">COUNTA(K6:K86)</f>
        <v>26</v>
      </c>
      <c r="L87" s="559">
        <f t="shared" si="0"/>
        <v>3</v>
      </c>
      <c r="M87" s="559">
        <f t="shared" si="0"/>
        <v>16</v>
      </c>
      <c r="N87" s="559">
        <f t="shared" si="0"/>
        <v>1</v>
      </c>
      <c r="O87" s="559">
        <f t="shared" si="0"/>
        <v>40</v>
      </c>
      <c r="P87" s="559">
        <f t="shared" si="0"/>
        <v>4</v>
      </c>
      <c r="Q87" s="628">
        <f t="shared" si="0"/>
        <v>1</v>
      </c>
      <c r="R87" s="629">
        <f t="shared" si="0"/>
        <v>5</v>
      </c>
      <c r="S87" s="630">
        <f t="shared" si="0"/>
        <v>6</v>
      </c>
      <c r="T87" s="559">
        <f t="shared" si="0"/>
        <v>6</v>
      </c>
      <c r="U87" s="559">
        <f t="shared" si="0"/>
        <v>2</v>
      </c>
      <c r="V87" s="628">
        <f t="shared" si="0"/>
        <v>15</v>
      </c>
      <c r="W87" s="629">
        <f t="shared" si="0"/>
        <v>11</v>
      </c>
      <c r="X87" s="628">
        <f t="shared" si="0"/>
        <v>3</v>
      </c>
      <c r="Y87" s="631">
        <f t="shared" si="0"/>
        <v>10</v>
      </c>
      <c r="Z87" s="559">
        <f t="shared" si="0"/>
        <v>3</v>
      </c>
      <c r="AA87" s="559">
        <f t="shared" si="0"/>
        <v>20</v>
      </c>
      <c r="AB87" s="559">
        <f t="shared" si="0"/>
        <v>2</v>
      </c>
      <c r="AC87" s="559">
        <f t="shared" si="0"/>
        <v>1</v>
      </c>
      <c r="AD87" s="559">
        <f t="shared" si="0"/>
        <v>14</v>
      </c>
    </row>
    <row r="88" spans="1:30" ht="26.25" customHeight="1" thickBot="1" thickTop="1">
      <c r="A88" s="5"/>
      <c r="B88" s="1395" t="s">
        <v>161</v>
      </c>
      <c r="C88" s="1396"/>
      <c r="D88" s="565">
        <f>SUM(D6:D86)</f>
        <v>823</v>
      </c>
      <c r="E88" s="566"/>
      <c r="F88" s="565">
        <f>SUM(F6:F86)</f>
        <v>189</v>
      </c>
      <c r="G88" s="567">
        <f>F88/D88</f>
        <v>0.22964763061968407</v>
      </c>
      <c r="H88" s="634">
        <f>SUM(H6:H86)</f>
        <v>56588.23</v>
      </c>
      <c r="I88" s="569"/>
      <c r="J88" s="570">
        <f>SUM(J6:J86)/22</f>
        <v>69.77842820543566</v>
      </c>
      <c r="K88" s="571">
        <f aca="true" t="shared" si="1" ref="K88:AD88">K5*K87</f>
        <v>9862.06</v>
      </c>
      <c r="L88" s="571">
        <f t="shared" si="1"/>
        <v>771.81</v>
      </c>
      <c r="M88" s="571">
        <f t="shared" si="1"/>
        <v>3066.24</v>
      </c>
      <c r="N88" s="571">
        <f t="shared" si="1"/>
        <v>69.6</v>
      </c>
      <c r="O88" s="571">
        <f t="shared" si="1"/>
        <v>13326</v>
      </c>
      <c r="P88" s="571">
        <f t="shared" si="1"/>
        <v>1057.3200000000002</v>
      </c>
      <c r="Q88" s="571">
        <f t="shared" si="1"/>
        <v>76.9</v>
      </c>
      <c r="R88" s="571">
        <f t="shared" si="1"/>
        <v>4170</v>
      </c>
      <c r="S88" s="571">
        <f t="shared" si="1"/>
        <v>4392</v>
      </c>
      <c r="T88" s="571">
        <f t="shared" si="1"/>
        <v>943.1999999999999</v>
      </c>
      <c r="U88" s="571">
        <f t="shared" si="1"/>
        <v>280.56</v>
      </c>
      <c r="V88" s="571">
        <f>V5*V87-(2*220.38)</f>
        <v>5442.54</v>
      </c>
      <c r="W88" s="571">
        <f t="shared" si="1"/>
        <v>1342.44</v>
      </c>
      <c r="X88" s="571">
        <f t="shared" si="1"/>
        <v>504</v>
      </c>
      <c r="Y88" s="571">
        <f t="shared" si="1"/>
        <v>1526.3999999999999</v>
      </c>
      <c r="Z88" s="571">
        <f t="shared" si="1"/>
        <v>900</v>
      </c>
      <c r="AA88" s="571">
        <f t="shared" si="1"/>
        <v>3753.3999999999996</v>
      </c>
      <c r="AB88" s="571">
        <f t="shared" si="1"/>
        <v>600</v>
      </c>
      <c r="AC88" s="571">
        <f t="shared" si="1"/>
        <v>13</v>
      </c>
      <c r="AD88" s="593">
        <f t="shared" si="1"/>
        <v>4200</v>
      </c>
    </row>
    <row r="89" spans="2:30" ht="15" customHeight="1" thickBot="1" thickTop="1">
      <c r="B89" s="572"/>
      <c r="C89" s="572"/>
      <c r="D89" s="572"/>
      <c r="E89" s="572"/>
      <c r="F89" s="572"/>
      <c r="G89" s="573"/>
      <c r="H89" s="572"/>
      <c r="I89" s="573"/>
      <c r="J89" s="573"/>
      <c r="K89" s="572"/>
      <c r="L89" s="572"/>
      <c r="M89" s="572"/>
      <c r="N89" s="572"/>
      <c r="O89" s="572"/>
      <c r="P89" s="572"/>
      <c r="Q89" s="572"/>
      <c r="R89" s="572"/>
      <c r="S89" s="572"/>
      <c r="T89" s="572"/>
      <c r="U89" s="572"/>
      <c r="V89" s="572"/>
      <c r="W89" s="572"/>
      <c r="X89" s="572"/>
      <c r="Y89" s="572"/>
      <c r="Z89" s="572"/>
      <c r="AA89" s="572"/>
      <c r="AB89" s="572"/>
      <c r="AC89" s="572"/>
      <c r="AD89" s="572"/>
    </row>
    <row r="90" spans="2:30" ht="22.5" thickBot="1" thickTop="1">
      <c r="B90" s="1397" t="s">
        <v>58</v>
      </c>
      <c r="C90" s="1398"/>
      <c r="D90" s="1398"/>
      <c r="E90" s="1398"/>
      <c r="F90" s="1398"/>
      <c r="G90" s="1398"/>
      <c r="H90" s="1398"/>
      <c r="I90" s="1398"/>
      <c r="J90" s="1398"/>
      <c r="K90" s="1398"/>
      <c r="L90" s="1398"/>
      <c r="M90" s="574">
        <f>SUM(F6:F86)</f>
        <v>189</v>
      </c>
      <c r="N90" s="575"/>
      <c r="O90" s="575"/>
      <c r="P90" s="576"/>
      <c r="Q90" s="576"/>
      <c r="R90" s="576"/>
      <c r="S90" s="576"/>
      <c r="T90" s="576"/>
      <c r="U90" s="576"/>
      <c r="V90" s="576"/>
      <c r="W90" s="576"/>
      <c r="X90" s="576"/>
      <c r="Y90" s="576"/>
      <c r="Z90" s="576"/>
      <c r="AA90" s="578"/>
      <c r="AB90" s="576"/>
      <c r="AC90" s="576"/>
      <c r="AD90" s="576"/>
    </row>
    <row r="91" ht="13.5" thickTop="1"/>
  </sheetData>
  <sheetProtection/>
  <mergeCells count="196">
    <mergeCell ref="I81:I86"/>
    <mergeCell ref="J81:J86"/>
    <mergeCell ref="B87:C87"/>
    <mergeCell ref="B88:C88"/>
    <mergeCell ref="B90:L90"/>
    <mergeCell ref="B81:C86"/>
    <mergeCell ref="D81:D86"/>
    <mergeCell ref="E81:E86"/>
    <mergeCell ref="F81:F86"/>
    <mergeCell ref="G81:G86"/>
    <mergeCell ref="H81:H86"/>
    <mergeCell ref="I69:I73"/>
    <mergeCell ref="J69:J73"/>
    <mergeCell ref="B74:C80"/>
    <mergeCell ref="D74:D80"/>
    <mergeCell ref="E74:E80"/>
    <mergeCell ref="F74:F80"/>
    <mergeCell ref="G74:G80"/>
    <mergeCell ref="H74:H80"/>
    <mergeCell ref="I74:I80"/>
    <mergeCell ref="J74:J80"/>
    <mergeCell ref="B69:C73"/>
    <mergeCell ref="D69:D73"/>
    <mergeCell ref="E69:E73"/>
    <mergeCell ref="F69:F73"/>
    <mergeCell ref="G69:G73"/>
    <mergeCell ref="H69:H73"/>
    <mergeCell ref="I63:I65"/>
    <mergeCell ref="J63:J65"/>
    <mergeCell ref="B66:C68"/>
    <mergeCell ref="D66:D68"/>
    <mergeCell ref="E66:E68"/>
    <mergeCell ref="F66:F68"/>
    <mergeCell ref="G66:G68"/>
    <mergeCell ref="H66:H68"/>
    <mergeCell ref="I66:I68"/>
    <mergeCell ref="J66:J68"/>
    <mergeCell ref="B63:C65"/>
    <mergeCell ref="D63:D65"/>
    <mergeCell ref="E63:E65"/>
    <mergeCell ref="F63:F65"/>
    <mergeCell ref="G63:G65"/>
    <mergeCell ref="H63:H65"/>
    <mergeCell ref="I55:I57"/>
    <mergeCell ref="J55:J57"/>
    <mergeCell ref="B58:C62"/>
    <mergeCell ref="D58:D62"/>
    <mergeCell ref="E58:E62"/>
    <mergeCell ref="F58:F62"/>
    <mergeCell ref="G58:G62"/>
    <mergeCell ref="H58:H62"/>
    <mergeCell ref="I58:I62"/>
    <mergeCell ref="J58:J62"/>
    <mergeCell ref="B55:C57"/>
    <mergeCell ref="D55:D57"/>
    <mergeCell ref="E55:E57"/>
    <mergeCell ref="F55:F57"/>
    <mergeCell ref="G55:G57"/>
    <mergeCell ref="H55:H57"/>
    <mergeCell ref="I49:I51"/>
    <mergeCell ref="J49:J51"/>
    <mergeCell ref="B52:C54"/>
    <mergeCell ref="D52:D54"/>
    <mergeCell ref="E52:E54"/>
    <mergeCell ref="F52:F54"/>
    <mergeCell ref="G52:G54"/>
    <mergeCell ref="H52:H54"/>
    <mergeCell ref="I52:I54"/>
    <mergeCell ref="J52:J54"/>
    <mergeCell ref="B49:C51"/>
    <mergeCell ref="D49:D51"/>
    <mergeCell ref="E49:E51"/>
    <mergeCell ref="F49:F51"/>
    <mergeCell ref="G49:G51"/>
    <mergeCell ref="H49:H51"/>
    <mergeCell ref="I42:I45"/>
    <mergeCell ref="J42:J45"/>
    <mergeCell ref="B46:C48"/>
    <mergeCell ref="D46:D48"/>
    <mergeCell ref="E46:E48"/>
    <mergeCell ref="F46:F48"/>
    <mergeCell ref="G46:G48"/>
    <mergeCell ref="H46:H48"/>
    <mergeCell ref="I46:I48"/>
    <mergeCell ref="J46:J48"/>
    <mergeCell ref="B42:C45"/>
    <mergeCell ref="D42:D45"/>
    <mergeCell ref="E42:E45"/>
    <mergeCell ref="F42:F45"/>
    <mergeCell ref="G42:G45"/>
    <mergeCell ref="H42:H45"/>
    <mergeCell ref="I36:I38"/>
    <mergeCell ref="J36:J38"/>
    <mergeCell ref="B39:C41"/>
    <mergeCell ref="D39:D41"/>
    <mergeCell ref="E39:E41"/>
    <mergeCell ref="F39:F41"/>
    <mergeCell ref="G39:G41"/>
    <mergeCell ref="H39:H41"/>
    <mergeCell ref="I39:I41"/>
    <mergeCell ref="J39:J41"/>
    <mergeCell ref="B36:C38"/>
    <mergeCell ref="D36:D38"/>
    <mergeCell ref="E36:E38"/>
    <mergeCell ref="F36:F38"/>
    <mergeCell ref="G36:G38"/>
    <mergeCell ref="H36:H38"/>
    <mergeCell ref="J30:J32"/>
    <mergeCell ref="B33:C35"/>
    <mergeCell ref="D33:D35"/>
    <mergeCell ref="E33:E35"/>
    <mergeCell ref="F33:F35"/>
    <mergeCell ref="G33:G35"/>
    <mergeCell ref="H33:H35"/>
    <mergeCell ref="I33:I35"/>
    <mergeCell ref="J33:J35"/>
    <mergeCell ref="I27:I29"/>
    <mergeCell ref="J27:J29"/>
    <mergeCell ref="AE27:AE29"/>
    <mergeCell ref="B30:C32"/>
    <mergeCell ref="D30:D32"/>
    <mergeCell ref="E30:E32"/>
    <mergeCell ref="F30:F32"/>
    <mergeCell ref="G30:G32"/>
    <mergeCell ref="H30:H32"/>
    <mergeCell ref="I30:I32"/>
    <mergeCell ref="B27:C29"/>
    <mergeCell ref="D27:D29"/>
    <mergeCell ref="E27:E29"/>
    <mergeCell ref="F27:F29"/>
    <mergeCell ref="G27:G29"/>
    <mergeCell ref="H27:H29"/>
    <mergeCell ref="I20:I22"/>
    <mergeCell ref="J20:J22"/>
    <mergeCell ref="B23:C26"/>
    <mergeCell ref="D23:D26"/>
    <mergeCell ref="E23:E26"/>
    <mergeCell ref="F23:F26"/>
    <mergeCell ref="G23:G26"/>
    <mergeCell ref="H23:H26"/>
    <mergeCell ref="I23:I26"/>
    <mergeCell ref="J23:J26"/>
    <mergeCell ref="B20:C22"/>
    <mergeCell ref="D20:D22"/>
    <mergeCell ref="E20:E22"/>
    <mergeCell ref="F20:F22"/>
    <mergeCell ref="G20:G22"/>
    <mergeCell ref="H20:H22"/>
    <mergeCell ref="I12:I16"/>
    <mergeCell ref="J12:J16"/>
    <mergeCell ref="B17:C19"/>
    <mergeCell ref="D17:D19"/>
    <mergeCell ref="E17:E19"/>
    <mergeCell ref="F17:F19"/>
    <mergeCell ref="G17:G19"/>
    <mergeCell ref="H17:H19"/>
    <mergeCell ref="I17:I19"/>
    <mergeCell ref="J17:J19"/>
    <mergeCell ref="B12:C16"/>
    <mergeCell ref="D12:D16"/>
    <mergeCell ref="E12:E16"/>
    <mergeCell ref="F12:F16"/>
    <mergeCell ref="G12:G16"/>
    <mergeCell ref="H12:H16"/>
    <mergeCell ref="I6:I8"/>
    <mergeCell ref="J6:J8"/>
    <mergeCell ref="B9:C11"/>
    <mergeCell ref="D9:D11"/>
    <mergeCell ref="E9:E11"/>
    <mergeCell ref="F9:F11"/>
    <mergeCell ref="G9:G11"/>
    <mergeCell ref="H9:H11"/>
    <mergeCell ref="I9:I11"/>
    <mergeCell ref="J9:J11"/>
    <mergeCell ref="Y2:Y3"/>
    <mergeCell ref="Z2:AD2"/>
    <mergeCell ref="B4:C4"/>
    <mergeCell ref="B5:C5"/>
    <mergeCell ref="B6:C8"/>
    <mergeCell ref="D6:D8"/>
    <mergeCell ref="E6:E8"/>
    <mergeCell ref="F6:F8"/>
    <mergeCell ref="G6:G8"/>
    <mergeCell ref="H6:H8"/>
    <mergeCell ref="I2:I3"/>
    <mergeCell ref="J2:J3"/>
    <mergeCell ref="K2:P2"/>
    <mergeCell ref="R2:S2"/>
    <mergeCell ref="T2:V2"/>
    <mergeCell ref="W2:X2"/>
    <mergeCell ref="B2:C3"/>
    <mergeCell ref="D2:D3"/>
    <mergeCell ref="E2:E3"/>
    <mergeCell ref="F2:F3"/>
    <mergeCell ref="G2:G3"/>
    <mergeCell ref="H2:H3"/>
  </mergeCells>
  <printOptions/>
  <pageMargins left="0.47" right="0.2" top="0.16" bottom="0.31" header="0.28" footer="0.31"/>
  <pageSetup horizontalDpi="600" verticalDpi="600" orientation="landscape" paperSize="8" scale="53"/>
  <headerFooter alignWithMargins="0">
    <oddFooter>&amp;C&amp;K000000&amp;D&amp;R&amp;"Calibri,Gras"&amp;12&amp;K000000DOTATIONS MATERIELS CLUBS 2015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AF95"/>
  <sheetViews>
    <sheetView showGridLines="0" zoomScalePageLayoutView="0" workbookViewId="0" topLeftCell="A1">
      <pane ySplit="5" topLeftCell="A55" activePane="bottomLeft" state="frozen"/>
      <selection pane="topLeft" activeCell="K1" sqref="K1"/>
      <selection pane="bottomLeft" activeCell="A96" sqref="A96:IV96"/>
    </sheetView>
  </sheetViews>
  <sheetFormatPr defaultColWidth="11.421875" defaultRowHeight="12.75"/>
  <cols>
    <col min="1" max="1" width="2.421875" style="0" customWidth="1"/>
    <col min="2" max="2" width="12.7109375" style="0" customWidth="1"/>
    <col min="3" max="3" width="10.00390625" style="0" customWidth="1"/>
    <col min="4" max="4" width="9.28125" style="188" customWidth="1"/>
    <col min="5" max="5" width="10.421875" style="188" bestFit="1" customWidth="1"/>
    <col min="6" max="6" width="7.8515625" style="188" bestFit="1" customWidth="1"/>
    <col min="7" max="7" width="11.8515625" style="418" bestFit="1" customWidth="1"/>
    <col min="8" max="8" width="11.00390625" style="188" bestFit="1" customWidth="1"/>
    <col min="9" max="9" width="10.28125" style="418" bestFit="1" customWidth="1"/>
    <col min="10" max="10" width="9.00390625" style="418" bestFit="1" customWidth="1"/>
    <col min="11" max="11" width="16.140625" style="10" bestFit="1" customWidth="1"/>
    <col min="12" max="12" width="11.140625" style="10" bestFit="1" customWidth="1"/>
    <col min="13" max="13" width="11.00390625" style="10" bestFit="1" customWidth="1"/>
    <col min="14" max="15" width="15.8515625" style="10" customWidth="1"/>
    <col min="16" max="16" width="11.7109375" style="10" bestFit="1" customWidth="1"/>
    <col min="17" max="17" width="13.421875" style="10" customWidth="1"/>
    <col min="18" max="18" width="12.421875" style="10" bestFit="1" customWidth="1"/>
    <col min="19" max="19" width="12.421875" style="10" customWidth="1"/>
    <col min="20" max="20" width="11.140625" style="10" bestFit="1" customWidth="1"/>
    <col min="21" max="21" width="11.140625" style="10" customWidth="1"/>
    <col min="22" max="22" width="13.7109375" style="10" bestFit="1" customWidth="1"/>
    <col min="23" max="23" width="11.28125" style="10" customWidth="1"/>
    <col min="24" max="24" width="10.8515625" style="10" customWidth="1"/>
    <col min="25" max="25" width="9.421875" style="10" bestFit="1" customWidth="1"/>
    <col min="26" max="26" width="10.28125" style="10" bestFit="1" customWidth="1"/>
    <col min="27" max="27" width="11.140625" style="192" bestFit="1" customWidth="1"/>
    <col min="28" max="28" width="9.28125" style="10" bestFit="1" customWidth="1"/>
    <col min="29" max="29" width="8.00390625" style="10" customWidth="1"/>
    <col min="30" max="30" width="14.421875" style="10" bestFit="1" customWidth="1"/>
  </cols>
  <sheetData>
    <row r="1" spans="2:10" ht="16.5" thickBot="1">
      <c r="B1" s="5"/>
      <c r="C1" s="5"/>
      <c r="D1" s="184"/>
      <c r="E1" s="184"/>
      <c r="F1" s="184"/>
      <c r="G1" s="286"/>
      <c r="H1" s="184"/>
      <c r="I1" s="286"/>
      <c r="J1" s="419"/>
    </row>
    <row r="2" spans="1:30" ht="29.25" customHeight="1" thickBot="1">
      <c r="A2" s="5"/>
      <c r="B2" s="1520" t="s">
        <v>21</v>
      </c>
      <c r="C2" s="1521"/>
      <c r="D2" s="1524" t="s">
        <v>210</v>
      </c>
      <c r="E2" s="1512" t="s">
        <v>120</v>
      </c>
      <c r="F2" s="1527" t="s">
        <v>121</v>
      </c>
      <c r="G2" s="1512" t="s">
        <v>122</v>
      </c>
      <c r="H2" s="1524" t="s">
        <v>123</v>
      </c>
      <c r="I2" s="1512" t="s">
        <v>124</v>
      </c>
      <c r="J2" s="1514" t="s">
        <v>163</v>
      </c>
      <c r="K2" s="1516" t="s">
        <v>0</v>
      </c>
      <c r="L2" s="1517"/>
      <c r="M2" s="1517"/>
      <c r="N2" s="1517"/>
      <c r="O2" s="1517"/>
      <c r="P2" s="1517"/>
      <c r="Q2" s="635"/>
      <c r="R2" s="1442" t="s">
        <v>125</v>
      </c>
      <c r="S2" s="1518"/>
      <c r="T2" s="1500" t="s">
        <v>1</v>
      </c>
      <c r="U2" s="1500"/>
      <c r="V2" s="1519"/>
      <c r="W2" s="1531" t="s">
        <v>2</v>
      </c>
      <c r="X2" s="1502"/>
      <c r="Y2" s="1498" t="s">
        <v>126</v>
      </c>
      <c r="Z2" s="1500" t="s">
        <v>3</v>
      </c>
      <c r="AA2" s="1501"/>
      <c r="AB2" s="1501"/>
      <c r="AC2" s="1519"/>
      <c r="AD2" s="1502"/>
    </row>
    <row r="3" spans="1:32" ht="66.75" customHeight="1" thickBot="1">
      <c r="A3" s="193"/>
      <c r="B3" s="1522"/>
      <c r="C3" s="1523"/>
      <c r="D3" s="1525"/>
      <c r="E3" s="1526"/>
      <c r="F3" s="1528"/>
      <c r="G3" s="1526"/>
      <c r="H3" s="1525"/>
      <c r="I3" s="1513"/>
      <c r="J3" s="1515"/>
      <c r="K3" s="452" t="s">
        <v>4</v>
      </c>
      <c r="L3" s="609" t="s">
        <v>211</v>
      </c>
      <c r="M3" s="609" t="s">
        <v>6</v>
      </c>
      <c r="N3" s="609" t="s">
        <v>175</v>
      </c>
      <c r="O3" s="609" t="s">
        <v>212</v>
      </c>
      <c r="P3" s="610" t="s">
        <v>207</v>
      </c>
      <c r="Q3" s="579" t="s">
        <v>190</v>
      </c>
      <c r="R3" s="636" t="s">
        <v>176</v>
      </c>
      <c r="S3" s="456" t="s">
        <v>177</v>
      </c>
      <c r="T3" s="457" t="s">
        <v>11</v>
      </c>
      <c r="U3" s="459" t="s">
        <v>13</v>
      </c>
      <c r="V3" s="459" t="s">
        <v>178</v>
      </c>
      <c r="W3" s="452" t="s">
        <v>209</v>
      </c>
      <c r="X3" s="458" t="s">
        <v>15</v>
      </c>
      <c r="Y3" s="1499"/>
      <c r="Z3" s="457" t="s">
        <v>17</v>
      </c>
      <c r="AA3" s="460" t="s">
        <v>18</v>
      </c>
      <c r="AB3" s="609" t="s">
        <v>19</v>
      </c>
      <c r="AC3" s="454" t="s">
        <v>191</v>
      </c>
      <c r="AD3" s="461" t="s">
        <v>20</v>
      </c>
      <c r="AE3" s="3"/>
      <c r="AF3" s="3"/>
    </row>
    <row r="4" spans="1:32" s="472" customFormat="1" ht="31.5" customHeight="1" thickBot="1">
      <c r="A4" s="241"/>
      <c r="B4" s="1503" t="s">
        <v>129</v>
      </c>
      <c r="C4" s="1504"/>
      <c r="D4" s="462"/>
      <c r="E4" s="463"/>
      <c r="F4" s="464"/>
      <c r="G4" s="465"/>
      <c r="H4" s="462"/>
      <c r="I4" s="465"/>
      <c r="J4" s="466"/>
      <c r="K4" s="457" t="s">
        <v>213</v>
      </c>
      <c r="L4" s="609" t="s">
        <v>214</v>
      </c>
      <c r="M4" s="609" t="s">
        <v>194</v>
      </c>
      <c r="N4" s="609" t="s">
        <v>215</v>
      </c>
      <c r="O4" s="609" t="s">
        <v>54</v>
      </c>
      <c r="P4" s="454" t="s">
        <v>216</v>
      </c>
      <c r="Q4" s="454" t="s">
        <v>196</v>
      </c>
      <c r="R4" s="462" t="s">
        <v>54</v>
      </c>
      <c r="S4" s="458" t="s">
        <v>185</v>
      </c>
      <c r="T4" s="467" t="s">
        <v>54</v>
      </c>
      <c r="U4" s="467" t="s">
        <v>168</v>
      </c>
      <c r="V4" s="580" t="s">
        <v>205</v>
      </c>
      <c r="W4" s="581" t="s">
        <v>136</v>
      </c>
      <c r="X4" s="458" t="s">
        <v>136</v>
      </c>
      <c r="Y4" s="469" t="s">
        <v>136</v>
      </c>
      <c r="Z4" s="467" t="s">
        <v>134</v>
      </c>
      <c r="AA4" s="470" t="s">
        <v>197</v>
      </c>
      <c r="AB4" s="471" t="s">
        <v>134</v>
      </c>
      <c r="AC4" s="459" t="s">
        <v>134</v>
      </c>
      <c r="AD4" s="458" t="s">
        <v>134</v>
      </c>
      <c r="AE4" s="3"/>
      <c r="AF4" s="3"/>
    </row>
    <row r="5" spans="1:32" ht="33.75" customHeight="1" thickBot="1">
      <c r="A5" s="193"/>
      <c r="B5" s="1532" t="s">
        <v>138</v>
      </c>
      <c r="C5" s="1533"/>
      <c r="D5" s="611"/>
      <c r="E5" s="612"/>
      <c r="F5" s="611"/>
      <c r="G5" s="613"/>
      <c r="H5" s="614"/>
      <c r="I5" s="615"/>
      <c r="J5" s="613"/>
      <c r="K5" s="616">
        <f>'[2]Catalogue dot et JE 2016'!E7</f>
        <v>430.69000000000005</v>
      </c>
      <c r="L5" s="617">
        <f>'[2]Catalogue dot et JE 2016'!E10</f>
        <v>206.04000000000002</v>
      </c>
      <c r="M5" s="617">
        <f>'[2]Catalogue dot et JE 2016'!E13</f>
        <v>308.65</v>
      </c>
      <c r="N5" s="617">
        <f>'[2]Catalogue dot et JE 2016'!E17</f>
        <v>360.25</v>
      </c>
      <c r="O5" s="618">
        <f>'[2]Catalogue dot et JE 2016'!E4</f>
        <v>84</v>
      </c>
      <c r="P5" s="618">
        <f>'[2]Catalogue dot et JE 2016'!E20</f>
        <v>76.9</v>
      </c>
      <c r="Q5" s="618">
        <f>'[2]Catalogue dot et JE 2016'!E22</f>
        <v>310.78</v>
      </c>
      <c r="R5" s="619">
        <f>'[2]Catalogue dot et JE 2016'!E24</f>
        <v>834.2</v>
      </c>
      <c r="S5" s="620">
        <f>'[2]Catalogue dot et JE 2016'!E28</f>
        <v>671.12</v>
      </c>
      <c r="T5" s="621">
        <f>'[2]Catalogue dot et JE 2016'!E29</f>
        <v>159.61</v>
      </c>
      <c r="U5" s="622">
        <f>'[2]Catalogue dot et JE 2016'!E33</f>
        <v>140.28</v>
      </c>
      <c r="V5" s="623">
        <f>'[2]Catalogue dot et JE 2016'!E32</f>
        <v>435.15</v>
      </c>
      <c r="W5" s="624">
        <f>'[2]Catalogue dot et JE 2016'!E34</f>
        <v>122.04</v>
      </c>
      <c r="X5" s="620">
        <f>'[2]Catalogue dot et JE 2016'!E35</f>
        <v>319.8</v>
      </c>
      <c r="Y5" s="625">
        <f>'[2]Catalogue dot et JE 2016'!E37</f>
        <v>133.74</v>
      </c>
      <c r="Z5" s="616">
        <v>300</v>
      </c>
      <c r="AA5" s="617">
        <f>'[2]Catalogue dot et JE 2016'!E36</f>
        <v>241.8</v>
      </c>
      <c r="AB5" s="617">
        <v>300</v>
      </c>
      <c r="AC5" s="618">
        <f>'[2]Catalogue dot et JE 2016'!E39</f>
        <v>13</v>
      </c>
      <c r="AD5" s="620">
        <v>300</v>
      </c>
      <c r="AE5" s="3"/>
      <c r="AF5" s="3"/>
    </row>
    <row r="6" spans="2:30" s="5" customFormat="1" ht="12.75">
      <c r="B6" s="1477" t="s">
        <v>139</v>
      </c>
      <c r="C6" s="1478"/>
      <c r="D6" s="1509">
        <v>17</v>
      </c>
      <c r="E6" s="1464">
        <f>D6/$D$93</f>
        <v>0.020190023752969122</v>
      </c>
      <c r="F6" s="1461">
        <f>COUNTA(K6:AD8)</f>
        <v>1</v>
      </c>
      <c r="G6" s="1464">
        <f>F6/D6</f>
        <v>0.058823529411764705</v>
      </c>
      <c r="H6" s="1467">
        <f>$K$5*COUNTA(K6:K8)+$L$5*COUNTA(L6:L8)+$M$5*COUNTA(M6:M8)+$N$5*COUNTA(N6:N8)+$P$5*COUNTA(P6:P8)+$Q$5*COUNTA(Q6:Q8)+$R$5*COUNTA(R6:R8)+$S$5*COUNTA(S6:S8)+$T$5*COUNTA(T6:T8)+$U$5*COUNTA(U6:U8)+$V$5*COUNTA(V6:V8)+$W$5*COUNTA(W6:W8)+$X$5*COUNTA(X6:X8)+$Y$5*COUNTA(Y6:Y8)+$Z$5*COUNTA(Z6:Z8)+$AA$5*COUNTA(AA6:AA8)+$AB$5*COUNTA(AB6:AB8)+$AC$5*COUNTA(AC6:AC8)+$AD$5*COUNTA(AD6:AD8)</f>
        <v>430.69000000000005</v>
      </c>
      <c r="I6" s="1446">
        <f>H6/H93</f>
        <v>0.008115304440269352</v>
      </c>
      <c r="J6" s="1470">
        <f>H6/D6</f>
        <v>25.334705882352946</v>
      </c>
      <c r="K6" s="638">
        <v>594</v>
      </c>
      <c r="L6" s="639"/>
      <c r="M6" s="640"/>
      <c r="N6" s="640"/>
      <c r="O6" s="641"/>
      <c r="P6" s="642"/>
      <c r="Q6" s="642"/>
      <c r="R6" s="643"/>
      <c r="S6" s="644"/>
      <c r="T6" s="645"/>
      <c r="U6" s="645"/>
      <c r="V6" s="641"/>
      <c r="W6" s="638"/>
      <c r="X6" s="644"/>
      <c r="Y6" s="646"/>
      <c r="Z6" s="645"/>
      <c r="AA6" s="639"/>
      <c r="AB6" s="639"/>
      <c r="AC6" s="642"/>
      <c r="AD6" s="644"/>
    </row>
    <row r="7" spans="2:30" s="5" customFormat="1" ht="12.75">
      <c r="B7" s="1507"/>
      <c r="C7" s="1508"/>
      <c r="D7" s="1510"/>
      <c r="E7" s="1465"/>
      <c r="F7" s="1462"/>
      <c r="G7" s="1465"/>
      <c r="H7" s="1468"/>
      <c r="I7" s="1447"/>
      <c r="J7" s="1471"/>
      <c r="K7" s="647"/>
      <c r="L7" s="648"/>
      <c r="M7" s="649"/>
      <c r="N7" s="649"/>
      <c r="O7" s="650"/>
      <c r="P7" s="651"/>
      <c r="Q7" s="651"/>
      <c r="R7" s="652"/>
      <c r="S7" s="653"/>
      <c r="T7" s="654"/>
      <c r="U7" s="654"/>
      <c r="V7" s="650"/>
      <c r="W7" s="647"/>
      <c r="X7" s="653"/>
      <c r="Y7" s="655"/>
      <c r="Z7" s="654"/>
      <c r="AA7" s="648"/>
      <c r="AB7" s="648"/>
      <c r="AC7" s="651"/>
      <c r="AD7" s="653"/>
    </row>
    <row r="8" spans="2:30" s="1" customFormat="1" ht="13.5" thickBot="1">
      <c r="B8" s="1479"/>
      <c r="C8" s="1480"/>
      <c r="D8" s="1511"/>
      <c r="E8" s="1466"/>
      <c r="F8" s="1463"/>
      <c r="G8" s="1466"/>
      <c r="H8" s="1469"/>
      <c r="I8" s="1448"/>
      <c r="J8" s="1472"/>
      <c r="K8" s="656"/>
      <c r="L8" s="657"/>
      <c r="M8" s="658"/>
      <c r="N8" s="658"/>
      <c r="O8" s="659"/>
      <c r="P8" s="660"/>
      <c r="Q8" s="660"/>
      <c r="R8" s="661"/>
      <c r="S8" s="662"/>
      <c r="T8" s="663"/>
      <c r="U8" s="663"/>
      <c r="V8" s="659"/>
      <c r="W8" s="656"/>
      <c r="X8" s="662"/>
      <c r="Y8" s="664"/>
      <c r="Z8" s="663"/>
      <c r="AA8" s="665"/>
      <c r="AB8" s="665"/>
      <c r="AC8" s="660"/>
      <c r="AD8" s="662"/>
    </row>
    <row r="9" spans="2:30" s="1" customFormat="1" ht="12.75">
      <c r="B9" s="1424" t="s">
        <v>140</v>
      </c>
      <c r="C9" s="1494"/>
      <c r="D9" s="1415">
        <v>36</v>
      </c>
      <c r="E9" s="1418">
        <f>D9/$D$93</f>
        <v>0.04275534441805225</v>
      </c>
      <c r="F9" s="1415">
        <f>COUNTA(K9:AD13)</f>
        <v>6</v>
      </c>
      <c r="G9" s="1418">
        <f>F9/D9</f>
        <v>0.16666666666666666</v>
      </c>
      <c r="H9" s="1467">
        <f>$K$5*COUNTA(K9:K13)+$L$5*COUNTA(L9:L13)+$M$5*COUNTA(M9:M13)+$N$5*COUNTA(N9:N13)+$P$5*COUNTA(P9:P13)+$Q$5*COUNTA(Q9:Q13)+$R$5*COUNTA(R9:R13)+$S$5*COUNTA(S9:S13)+$T$5*COUNTA(T9:T13)+$U$5*COUNTA(U9:U13)+$V$5*COUNTA(V9:V13)+$W$5*COUNTA(W9:W13)+$X$5*COUNTA(X9:X13)+Y5*COUNTA(Y9:Y13)+$Z$5*COUNTA(Z9:Z13)+$AA$5*COUNTA(AA9:AA13)+$AB$5*COUNTA(AB9:AB13)+$AC$5*COUNTA(AC9:AC13)+$AD$5*COUNTA(AD9:AD13)+$O$5*COUNTA(O9:O13)</f>
        <v>1554.8500000000001</v>
      </c>
      <c r="I9" s="1387">
        <f>H9/H93</f>
        <v>0.029297362624980387</v>
      </c>
      <c r="J9" s="1390">
        <f>H9/D9</f>
        <v>43.19027777777778</v>
      </c>
      <c r="K9" s="638">
        <v>617</v>
      </c>
      <c r="L9" s="666">
        <v>113</v>
      </c>
      <c r="M9" s="640"/>
      <c r="N9" s="640"/>
      <c r="O9" s="641"/>
      <c r="P9" s="642"/>
      <c r="Q9" s="642"/>
      <c r="R9" s="643"/>
      <c r="S9" s="644"/>
      <c r="T9" s="645"/>
      <c r="U9" s="645"/>
      <c r="V9" s="641"/>
      <c r="W9" s="638"/>
      <c r="X9" s="644"/>
      <c r="Y9" s="646"/>
      <c r="Z9" s="645"/>
      <c r="AA9" s="639"/>
      <c r="AB9" s="639"/>
      <c r="AC9" s="642"/>
      <c r="AD9" s="644"/>
    </row>
    <row r="10" spans="2:30" s="1" customFormat="1" ht="12.75">
      <c r="B10" s="1432"/>
      <c r="C10" s="1495"/>
      <c r="D10" s="1416"/>
      <c r="E10" s="1419"/>
      <c r="F10" s="1416"/>
      <c r="G10" s="1419"/>
      <c r="H10" s="1468"/>
      <c r="I10" s="1388"/>
      <c r="J10" s="1391"/>
      <c r="K10" s="647"/>
      <c r="L10" s="667">
        <v>393</v>
      </c>
      <c r="M10" s="649"/>
      <c r="N10" s="649"/>
      <c r="O10" s="650"/>
      <c r="P10" s="651"/>
      <c r="Q10" s="651"/>
      <c r="R10" s="652"/>
      <c r="S10" s="653"/>
      <c r="T10" s="654"/>
      <c r="U10" s="654"/>
      <c r="V10" s="650"/>
      <c r="W10" s="647"/>
      <c r="X10" s="653"/>
      <c r="Y10" s="655"/>
      <c r="Z10" s="654"/>
      <c r="AA10" s="648"/>
      <c r="AB10" s="648"/>
      <c r="AC10" s="651"/>
      <c r="AD10" s="653"/>
    </row>
    <row r="11" spans="2:30" s="1" customFormat="1" ht="12.75">
      <c r="B11" s="1432"/>
      <c r="C11" s="1495"/>
      <c r="D11" s="1416"/>
      <c r="E11" s="1419"/>
      <c r="F11" s="1416"/>
      <c r="G11" s="1419"/>
      <c r="H11" s="1468"/>
      <c r="I11" s="1388"/>
      <c r="J11" s="1391"/>
      <c r="K11" s="668"/>
      <c r="L11" s="669"/>
      <c r="M11" s="670"/>
      <c r="N11" s="670"/>
      <c r="O11" s="671"/>
      <c r="P11" s="672"/>
      <c r="Q11" s="672"/>
      <c r="R11" s="673"/>
      <c r="S11" s="674"/>
      <c r="T11" s="675"/>
      <c r="U11" s="675"/>
      <c r="V11" s="671"/>
      <c r="W11" s="668"/>
      <c r="X11" s="674"/>
      <c r="Y11" s="676"/>
      <c r="Z11" s="675"/>
      <c r="AA11" s="677"/>
      <c r="AB11" s="677"/>
      <c r="AC11" s="672"/>
      <c r="AD11" s="674"/>
    </row>
    <row r="12" spans="2:30" s="1" customFormat="1" ht="12.75">
      <c r="B12" s="1432"/>
      <c r="C12" s="1495"/>
      <c r="D12" s="1416"/>
      <c r="E12" s="1419"/>
      <c r="F12" s="1416"/>
      <c r="G12" s="1419"/>
      <c r="H12" s="1468"/>
      <c r="I12" s="1388"/>
      <c r="J12" s="1391"/>
      <c r="K12" s="668"/>
      <c r="L12" s="669">
        <v>564</v>
      </c>
      <c r="M12" s="670"/>
      <c r="N12" s="670"/>
      <c r="O12" s="671"/>
      <c r="P12" s="672"/>
      <c r="Q12" s="672"/>
      <c r="R12" s="673"/>
      <c r="S12" s="674"/>
      <c r="T12" s="675"/>
      <c r="U12" s="675"/>
      <c r="V12" s="671"/>
      <c r="W12" s="668"/>
      <c r="X12" s="674"/>
      <c r="Y12" s="676"/>
      <c r="Z12" s="675"/>
      <c r="AA12" s="677"/>
      <c r="AB12" s="677"/>
      <c r="AC12" s="672"/>
      <c r="AD12" s="674"/>
    </row>
    <row r="13" spans="2:30" s="1" customFormat="1" ht="13.5" thickBot="1">
      <c r="B13" s="1436"/>
      <c r="C13" s="1496"/>
      <c r="D13" s="1417"/>
      <c r="E13" s="1420"/>
      <c r="F13" s="1417"/>
      <c r="G13" s="1420"/>
      <c r="H13" s="1469"/>
      <c r="I13" s="1389"/>
      <c r="J13" s="1392"/>
      <c r="K13" s="656"/>
      <c r="L13" s="665">
        <v>248</v>
      </c>
      <c r="M13" s="665"/>
      <c r="N13" s="665"/>
      <c r="O13" s="660"/>
      <c r="P13" s="660"/>
      <c r="Q13" s="660"/>
      <c r="R13" s="661"/>
      <c r="S13" s="662"/>
      <c r="T13" s="663"/>
      <c r="U13" s="663"/>
      <c r="V13" s="660"/>
      <c r="W13" s="656"/>
      <c r="X13" s="662"/>
      <c r="Y13" s="664"/>
      <c r="Z13" s="663">
        <v>728</v>
      </c>
      <c r="AA13" s="665"/>
      <c r="AB13" s="665"/>
      <c r="AC13" s="660"/>
      <c r="AD13" s="662"/>
    </row>
    <row r="14" spans="1:30" s="6" customFormat="1" ht="12.75">
      <c r="A14" s="1"/>
      <c r="B14" s="1432" t="s">
        <v>141</v>
      </c>
      <c r="C14" s="1433"/>
      <c r="D14" s="1434">
        <v>59</v>
      </c>
      <c r="E14" s="1419">
        <f>D14/$D$93</f>
        <v>0.07007125890736342</v>
      </c>
      <c r="F14" s="1415">
        <f>COUNTA(K14:AD18)</f>
        <v>15</v>
      </c>
      <c r="G14" s="1418">
        <f>F14/D14</f>
        <v>0.2542372881355932</v>
      </c>
      <c r="H14" s="1467">
        <f>$K$5*COUNTA(K14:K18)+$L$5*COUNTA(L14:L18)+$M$5*COUNTA(M14:M18)+$N$5*COUNTA(N14:N18)+$P$5*COUNTA(P14:P18)+$Q$5*COUNTA(Q14:Q18)+$R$5*COUNTA(R14:R18)+$S$5*COUNTA(S14:S18)+$T$5*COUNTA(T14:T18)+$U$5*COUNTA(U14:U18)+$V$5*COUNTA(V14:V18)+$W$5*COUNTA(W14:W18)+$X$5*COUNTA(X14:X18)+$Y$5*COUNTA(Y14:Y18)+$Z$5*COUNTA(Z14:Z18)+$AA$5*COUNTA(AA14:AA18)+$AB$5*COUNTA(AB14:AB18)+$AC$5*COUNTA(AC14:AC18)+$AD$5*COUNTA(AD14:AD18)+$O$5*COUNTA(O14:O18)</f>
        <v>2954.1000000000004</v>
      </c>
      <c r="I14" s="1387">
        <f>H14/H93</f>
        <v>0.05566282209245558</v>
      </c>
      <c r="J14" s="1390">
        <f>H14/D14</f>
        <v>50.069491525423736</v>
      </c>
      <c r="K14" s="638"/>
      <c r="L14" s="639">
        <v>110</v>
      </c>
      <c r="M14" s="639"/>
      <c r="N14" s="639">
        <v>128</v>
      </c>
      <c r="O14" s="642">
        <v>2</v>
      </c>
      <c r="P14" s="642"/>
      <c r="Q14" s="642"/>
      <c r="R14" s="643"/>
      <c r="S14" s="644"/>
      <c r="T14" s="645">
        <v>447</v>
      </c>
      <c r="U14" s="645">
        <v>155</v>
      </c>
      <c r="V14" s="642"/>
      <c r="W14" s="638">
        <v>146</v>
      </c>
      <c r="X14" s="644"/>
      <c r="Y14" s="646">
        <v>61</v>
      </c>
      <c r="Z14" s="645"/>
      <c r="AA14" s="639"/>
      <c r="AB14" s="639"/>
      <c r="AC14" s="642"/>
      <c r="AD14" s="644"/>
    </row>
    <row r="15" spans="1:30" s="6" customFormat="1" ht="12.75">
      <c r="A15" s="1"/>
      <c r="B15" s="1432"/>
      <c r="C15" s="1433"/>
      <c r="D15" s="1434"/>
      <c r="E15" s="1419"/>
      <c r="F15" s="1416"/>
      <c r="G15" s="1419"/>
      <c r="H15" s="1468"/>
      <c r="I15" s="1388"/>
      <c r="J15" s="1391"/>
      <c r="K15" s="647"/>
      <c r="L15" s="649">
        <v>1597</v>
      </c>
      <c r="M15" s="649"/>
      <c r="N15" s="649">
        <v>654</v>
      </c>
      <c r="O15" s="650">
        <v>543</v>
      </c>
      <c r="P15" s="651"/>
      <c r="Q15" s="651"/>
      <c r="R15" s="652"/>
      <c r="S15" s="653"/>
      <c r="T15" s="654"/>
      <c r="U15" s="654"/>
      <c r="V15" s="650"/>
      <c r="W15" s="678"/>
      <c r="X15" s="679"/>
      <c r="Y15" s="655">
        <v>261</v>
      </c>
      <c r="Z15" s="654"/>
      <c r="AA15" s="649"/>
      <c r="AB15" s="649"/>
      <c r="AC15" s="650"/>
      <c r="AD15" s="653"/>
    </row>
    <row r="16" spans="1:30" s="6" customFormat="1" ht="12.75">
      <c r="A16" s="1"/>
      <c r="B16" s="1432"/>
      <c r="C16" s="1433"/>
      <c r="D16" s="1434"/>
      <c r="E16" s="1419"/>
      <c r="F16" s="1416"/>
      <c r="G16" s="1419"/>
      <c r="H16" s="1468"/>
      <c r="I16" s="1388"/>
      <c r="J16" s="1391"/>
      <c r="K16" s="647"/>
      <c r="L16" s="649"/>
      <c r="M16" s="649"/>
      <c r="N16" s="649">
        <v>73</v>
      </c>
      <c r="O16" s="650">
        <v>198</v>
      </c>
      <c r="P16" s="651"/>
      <c r="Q16" s="651"/>
      <c r="R16" s="652"/>
      <c r="S16" s="653"/>
      <c r="T16" s="654">
        <v>51</v>
      </c>
      <c r="U16" s="654"/>
      <c r="V16" s="650"/>
      <c r="W16" s="678"/>
      <c r="X16" s="679"/>
      <c r="Y16" s="655"/>
      <c r="Z16" s="654"/>
      <c r="AA16" s="649"/>
      <c r="AB16" s="649"/>
      <c r="AC16" s="650"/>
      <c r="AD16" s="653"/>
    </row>
    <row r="17" spans="1:30" s="6" customFormat="1" ht="12.75">
      <c r="A17" s="1"/>
      <c r="B17" s="1432"/>
      <c r="C17" s="1433"/>
      <c r="D17" s="1434"/>
      <c r="E17" s="1419"/>
      <c r="F17" s="1416"/>
      <c r="G17" s="1419"/>
      <c r="H17" s="1468"/>
      <c r="I17" s="1388"/>
      <c r="J17" s="1391"/>
      <c r="K17" s="647"/>
      <c r="L17" s="649"/>
      <c r="M17" s="649"/>
      <c r="N17" s="649">
        <v>343</v>
      </c>
      <c r="O17" s="650"/>
      <c r="P17" s="651"/>
      <c r="Q17" s="651"/>
      <c r="R17" s="652"/>
      <c r="S17" s="653"/>
      <c r="T17" s="654"/>
      <c r="U17" s="654"/>
      <c r="V17" s="650"/>
      <c r="W17" s="678"/>
      <c r="X17" s="679"/>
      <c r="Y17" s="655"/>
      <c r="Z17" s="654"/>
      <c r="AA17" s="649"/>
      <c r="AB17" s="649"/>
      <c r="AC17" s="650"/>
      <c r="AD17" s="653"/>
    </row>
    <row r="18" spans="1:30" s="6" customFormat="1" ht="13.5" thickBot="1">
      <c r="A18" s="1"/>
      <c r="B18" s="1432"/>
      <c r="C18" s="1433"/>
      <c r="D18" s="1434"/>
      <c r="E18" s="1419"/>
      <c r="F18" s="1416"/>
      <c r="G18" s="1419"/>
      <c r="H18" s="1469"/>
      <c r="I18" s="1388"/>
      <c r="J18" s="1391"/>
      <c r="K18" s="656"/>
      <c r="L18" s="658"/>
      <c r="M18" s="658"/>
      <c r="N18" s="658"/>
      <c r="O18" s="659"/>
      <c r="P18" s="660"/>
      <c r="Q18" s="660"/>
      <c r="R18" s="661"/>
      <c r="S18" s="662"/>
      <c r="T18" s="663"/>
      <c r="U18" s="663"/>
      <c r="V18" s="659"/>
      <c r="W18" s="680"/>
      <c r="X18" s="681"/>
      <c r="Y18" s="664"/>
      <c r="Z18" s="663"/>
      <c r="AA18" s="658"/>
      <c r="AB18" s="658"/>
      <c r="AC18" s="659"/>
      <c r="AD18" s="662"/>
    </row>
    <row r="19" spans="1:30" s="6" customFormat="1" ht="14.25" customHeight="1">
      <c r="A19" s="1"/>
      <c r="B19" s="1424" t="s">
        <v>142</v>
      </c>
      <c r="C19" s="1435"/>
      <c r="D19" s="1415">
        <v>20</v>
      </c>
      <c r="E19" s="1485">
        <f>D19/$D$93</f>
        <v>0.023752969121140142</v>
      </c>
      <c r="F19" s="1438">
        <f>COUNTA(K19:AD21)</f>
        <v>5</v>
      </c>
      <c r="G19" s="1418">
        <f>F19/D19</f>
        <v>0.25</v>
      </c>
      <c r="H19" s="1467">
        <f>$K$5*COUNTA(K19:K21)+$L$5*COUNTA(L19:L21)+$M$5*COUNTA(M19:M21)+$N$5*COUNTA(N19:N21)+$P$5*COUNTA(P19:P21)+$Q$5*COUNTA(Q19:Q21)+$R$5*COUNTA(R19:R21)+$S$5*COUNTA(S19:S21)+$T$5*COUNTA(T19:T21)+$U$5*COUNTA(U19:U21)+$V$5*COUNTA(V19:V21)+$W$5*COUNTA(W19:W21)+$X$5*COUNTA(X19:X21)+$Y$5*COUNTA(Y19:Y21)+$Z$5*COUNTA(Z19:Z21)+$AA$5*COUNTA(AA19:AA21)+$AB$5*COUNTA(AB19:AB21)+$AC$5*COUNTA(AC19:AC21)+$AD$5*COUNTA(AD19:AD21)</f>
        <v>1423.13</v>
      </c>
      <c r="I19" s="1491">
        <f>H19/H93</f>
        <v>0.026815419926351954</v>
      </c>
      <c r="J19" s="1390">
        <f>H19/D19</f>
        <v>71.15650000000001</v>
      </c>
      <c r="K19" s="643"/>
      <c r="L19" s="639"/>
      <c r="M19" s="639"/>
      <c r="N19" s="639">
        <v>252</v>
      </c>
      <c r="O19" s="682"/>
      <c r="P19" s="639"/>
      <c r="Q19" s="644"/>
      <c r="R19" s="643"/>
      <c r="S19" s="644"/>
      <c r="T19" s="682"/>
      <c r="U19" s="639"/>
      <c r="V19" s="642">
        <v>647</v>
      </c>
      <c r="W19" s="638"/>
      <c r="X19" s="683"/>
      <c r="Y19" s="646">
        <v>859</v>
      </c>
      <c r="Z19" s="682"/>
      <c r="AA19" s="639"/>
      <c r="AB19" s="642"/>
      <c r="AC19" s="639"/>
      <c r="AD19" s="644"/>
    </row>
    <row r="20" spans="1:30" s="6" customFormat="1" ht="14.25" customHeight="1">
      <c r="A20" s="1"/>
      <c r="B20" s="1432"/>
      <c r="C20" s="1433"/>
      <c r="D20" s="1416"/>
      <c r="E20" s="1486"/>
      <c r="F20" s="1434"/>
      <c r="G20" s="1419"/>
      <c r="H20" s="1468"/>
      <c r="I20" s="1492"/>
      <c r="J20" s="1391"/>
      <c r="K20" s="652"/>
      <c r="L20" s="648"/>
      <c r="M20" s="648"/>
      <c r="N20" s="648">
        <v>334</v>
      </c>
      <c r="O20" s="684"/>
      <c r="P20" s="648"/>
      <c r="Q20" s="653"/>
      <c r="R20" s="652"/>
      <c r="S20" s="653"/>
      <c r="T20" s="684"/>
      <c r="U20" s="648"/>
      <c r="V20" s="651"/>
      <c r="W20" s="647"/>
      <c r="X20" s="685"/>
      <c r="Y20" s="655">
        <v>884</v>
      </c>
      <c r="Z20" s="684"/>
      <c r="AA20" s="648"/>
      <c r="AB20" s="684"/>
      <c r="AC20" s="648"/>
      <c r="AD20" s="653"/>
    </row>
    <row r="21" spans="1:30" s="6" customFormat="1" ht="14.25" customHeight="1" thickBot="1">
      <c r="A21" s="1"/>
      <c r="B21" s="1436"/>
      <c r="C21" s="1437"/>
      <c r="D21" s="1417"/>
      <c r="E21" s="1487"/>
      <c r="F21" s="1439"/>
      <c r="G21" s="1420"/>
      <c r="H21" s="1469"/>
      <c r="I21" s="1493"/>
      <c r="J21" s="1392"/>
      <c r="K21" s="661"/>
      <c r="L21" s="665"/>
      <c r="M21" s="665"/>
      <c r="N21" s="665"/>
      <c r="O21" s="686"/>
      <c r="P21" s="665"/>
      <c r="Q21" s="662"/>
      <c r="R21" s="661"/>
      <c r="S21" s="662"/>
      <c r="T21" s="686"/>
      <c r="U21" s="665"/>
      <c r="V21" s="660"/>
      <c r="W21" s="656"/>
      <c r="X21" s="687"/>
      <c r="Y21" s="664"/>
      <c r="Z21" s="686"/>
      <c r="AA21" s="665"/>
      <c r="AB21" s="688"/>
      <c r="AC21" s="665"/>
      <c r="AD21" s="662"/>
    </row>
    <row r="22" spans="1:30" s="6" customFormat="1" ht="12.75">
      <c r="A22" s="1"/>
      <c r="B22" s="1432" t="s">
        <v>143</v>
      </c>
      <c r="C22" s="1433"/>
      <c r="D22" s="1434">
        <v>29</v>
      </c>
      <c r="E22" s="1419">
        <f>D22/$D$93</f>
        <v>0.0344418052256532</v>
      </c>
      <c r="F22" s="1416">
        <f>COUNTA(K22:AD24)</f>
        <v>7</v>
      </c>
      <c r="G22" s="1419">
        <f>F22/D22</f>
        <v>0.2413793103448276</v>
      </c>
      <c r="H22" s="1467">
        <f>$K$5*COUNTA(K22:K24)+$L$5*COUNTA(L22:L24)+$M$5*COUNTA(M22:M24)+$N$5*COUNTA(N22:N24)+$P$5*COUNTA(P22:P24)+$Q$5*COUNTA(Q22:Q24)+$R$5*COUNTA(R22:R24)+$S$5*COUNTA(S22:S24)+$T$5*COUNTA(T22:T24)+$U$5*COUNTA(U22:U24)+$V$5*COUNTA(V22:V24)+$W$5*COUNTA(W22:W24)+$X$5*COUNTA(X22:X24)+Y18*COUNTA(Y22:Y24)+$Z$5*COUNTA(Z22:Z24)+$AA$5*COUNTA(AA22:AA24)+$AB$5*COUNTA(AB22:AB24)+$AC$5*COUNTA(AC22:AC24)+$AD$5*COUNTA(AD22:AD24)</f>
        <v>1331.0900000000001</v>
      </c>
      <c r="I22" s="1388">
        <f>H22/H93</f>
        <v>0.025081150218017906</v>
      </c>
      <c r="J22" s="1390">
        <f>H22/D22</f>
        <v>45.8996551724138</v>
      </c>
      <c r="K22" s="638"/>
      <c r="L22" s="639">
        <v>366</v>
      </c>
      <c r="M22" s="639"/>
      <c r="N22" s="639"/>
      <c r="O22" s="642"/>
      <c r="P22" s="642">
        <v>616</v>
      </c>
      <c r="Q22" s="642"/>
      <c r="R22" s="643"/>
      <c r="S22" s="644"/>
      <c r="T22" s="645"/>
      <c r="U22" s="645"/>
      <c r="V22" s="642"/>
      <c r="W22" s="638"/>
      <c r="X22" s="644"/>
      <c r="Y22" s="646"/>
      <c r="Z22" s="645"/>
      <c r="AA22" s="639"/>
      <c r="AB22" s="639"/>
      <c r="AC22" s="642"/>
      <c r="AD22" s="644">
        <v>416</v>
      </c>
    </row>
    <row r="23" spans="1:30" s="6" customFormat="1" ht="12.75">
      <c r="A23" s="1"/>
      <c r="B23" s="1432"/>
      <c r="C23" s="1433"/>
      <c r="D23" s="1434"/>
      <c r="E23" s="1419"/>
      <c r="F23" s="1416"/>
      <c r="G23" s="1419"/>
      <c r="H23" s="1468"/>
      <c r="I23" s="1388"/>
      <c r="J23" s="1391"/>
      <c r="K23" s="647"/>
      <c r="L23" s="648"/>
      <c r="M23" s="648"/>
      <c r="N23" s="648"/>
      <c r="O23" s="651"/>
      <c r="P23" s="651"/>
      <c r="Q23" s="651"/>
      <c r="R23" s="652"/>
      <c r="S23" s="653"/>
      <c r="T23" s="654"/>
      <c r="U23" s="654"/>
      <c r="V23" s="651">
        <v>409</v>
      </c>
      <c r="W23" s="647"/>
      <c r="X23" s="653"/>
      <c r="Y23" s="655">
        <v>1577</v>
      </c>
      <c r="Z23" s="654"/>
      <c r="AA23" s="648"/>
      <c r="AB23" s="648"/>
      <c r="AC23" s="651"/>
      <c r="AD23" s="653">
        <v>577</v>
      </c>
    </row>
    <row r="24" spans="1:30" s="6" customFormat="1" ht="13.5" thickBot="1">
      <c r="A24" s="1"/>
      <c r="B24" s="1432"/>
      <c r="C24" s="1433"/>
      <c r="D24" s="1434"/>
      <c r="E24" s="1419"/>
      <c r="F24" s="1416"/>
      <c r="G24" s="1419"/>
      <c r="H24" s="1469"/>
      <c r="I24" s="1388"/>
      <c r="J24" s="1392"/>
      <c r="K24" s="656"/>
      <c r="L24" s="657"/>
      <c r="M24" s="665"/>
      <c r="N24" s="665"/>
      <c r="O24" s="660"/>
      <c r="P24" s="660"/>
      <c r="Q24" s="660"/>
      <c r="R24" s="661"/>
      <c r="S24" s="662"/>
      <c r="T24" s="663"/>
      <c r="U24" s="663"/>
      <c r="V24" s="660"/>
      <c r="W24" s="656"/>
      <c r="X24" s="662"/>
      <c r="Y24" s="664"/>
      <c r="Z24" s="663"/>
      <c r="AA24" s="665"/>
      <c r="AB24" s="665"/>
      <c r="AC24" s="660">
        <v>125</v>
      </c>
      <c r="AD24" s="662"/>
    </row>
    <row r="25" spans="2:30" s="1" customFormat="1" ht="12.75">
      <c r="B25" s="1424" t="s">
        <v>144</v>
      </c>
      <c r="C25" s="1435"/>
      <c r="D25" s="1438">
        <v>44</v>
      </c>
      <c r="E25" s="1418">
        <f>D25/$D$93</f>
        <v>0.052256532066508314</v>
      </c>
      <c r="F25" s="1461">
        <f>COUNTA(K25:AD28)</f>
        <v>9</v>
      </c>
      <c r="G25" s="1418">
        <f>F25/D25</f>
        <v>0.20454545454545456</v>
      </c>
      <c r="H25" s="1467">
        <f>$K$5*COUNTA(K25:K28)+$L$5*COUNTA(L25:L28)+$M$5*COUNTA(M25:M28)+$N$5*COUNTA(N25:N28)+$P$5*COUNTA(P25:P28)+$Q$5*COUNTA(Q25:Q28)+$R$5*COUNTA(R25:R28)+$S$5*COUNTA(S25:S28)+$T$5*COUNTA(T25:T28)+$U$5*COUNTA(U25:U28)+$V$5*COUNTA(V25:V28)+$W$5*COUNTA(W25:W28)+$X$5*COUNTA(X25:X28)+$Y$5*COUNTA(Y25:Y28)+$Z$5*COUNTA(Z25:Z28)+$AA$5*COUNTA(AA25:AA28)+$AB$5*COUNTA(AB25:AB28)+$AC$5*COUNTA(AC25:AC28)+$AD$5*COUNTA(AD25:AD28)</f>
        <v>3145.15</v>
      </c>
      <c r="I25" s="1387">
        <f>H25/H93</f>
        <v>0.05926269418912246</v>
      </c>
      <c r="J25" s="1390">
        <f>H25/D25</f>
        <v>71.48068181818182</v>
      </c>
      <c r="K25" s="638">
        <v>274</v>
      </c>
      <c r="L25" s="639"/>
      <c r="M25" s="639"/>
      <c r="N25" s="639">
        <v>624</v>
      </c>
      <c r="O25" s="642"/>
      <c r="P25" s="642"/>
      <c r="Q25" s="642"/>
      <c r="R25" s="643"/>
      <c r="S25" s="644"/>
      <c r="T25" s="645"/>
      <c r="U25" s="645"/>
      <c r="V25" s="642"/>
      <c r="W25" s="638"/>
      <c r="X25" s="644"/>
      <c r="Y25" s="646"/>
      <c r="Z25" s="645"/>
      <c r="AA25" s="639"/>
      <c r="AB25" s="639"/>
      <c r="AC25" s="642"/>
      <c r="AD25" s="644"/>
    </row>
    <row r="26" spans="2:30" s="1" customFormat="1" ht="12.75">
      <c r="B26" s="1432"/>
      <c r="C26" s="1433"/>
      <c r="D26" s="1434"/>
      <c r="E26" s="1419"/>
      <c r="F26" s="1462"/>
      <c r="G26" s="1419"/>
      <c r="H26" s="1468"/>
      <c r="I26" s="1388"/>
      <c r="J26" s="1391"/>
      <c r="K26" s="647">
        <v>944</v>
      </c>
      <c r="L26" s="648">
        <v>115</v>
      </c>
      <c r="M26" s="648"/>
      <c r="N26" s="648">
        <v>765</v>
      </c>
      <c r="O26" s="651"/>
      <c r="P26" s="651"/>
      <c r="Q26" s="651"/>
      <c r="R26" s="652"/>
      <c r="S26" s="653"/>
      <c r="T26" s="654"/>
      <c r="U26" s="654"/>
      <c r="V26" s="651"/>
      <c r="W26" s="647"/>
      <c r="X26" s="653"/>
      <c r="Y26" s="655"/>
      <c r="Z26" s="654"/>
      <c r="AA26" s="648"/>
      <c r="AB26" s="648"/>
      <c r="AC26" s="651"/>
      <c r="AD26" s="653"/>
    </row>
    <row r="27" spans="2:30" s="1" customFormat="1" ht="12.75">
      <c r="B27" s="1432"/>
      <c r="C27" s="1433"/>
      <c r="D27" s="1434"/>
      <c r="E27" s="1419"/>
      <c r="F27" s="1462"/>
      <c r="G27" s="1419"/>
      <c r="H27" s="1468"/>
      <c r="I27" s="1388"/>
      <c r="J27" s="1391"/>
      <c r="K27" s="647"/>
      <c r="L27" s="648">
        <v>1520</v>
      </c>
      <c r="M27" s="648"/>
      <c r="N27" s="648">
        <v>561</v>
      </c>
      <c r="O27" s="651"/>
      <c r="P27" s="651"/>
      <c r="Q27" s="651"/>
      <c r="R27" s="652"/>
      <c r="S27" s="653"/>
      <c r="T27" s="654"/>
      <c r="U27" s="654"/>
      <c r="V27" s="651"/>
      <c r="W27" s="647"/>
      <c r="X27" s="653"/>
      <c r="Y27" s="655"/>
      <c r="Z27" s="654"/>
      <c r="AA27" s="648"/>
      <c r="AB27" s="648"/>
      <c r="AC27" s="651"/>
      <c r="AD27" s="653"/>
    </row>
    <row r="28" spans="2:30" s="1" customFormat="1" ht="13.5" thickBot="1">
      <c r="B28" s="1432"/>
      <c r="C28" s="1433"/>
      <c r="D28" s="1434"/>
      <c r="E28" s="1419"/>
      <c r="F28" s="1463"/>
      <c r="G28" s="1419"/>
      <c r="H28" s="1469"/>
      <c r="I28" s="1388"/>
      <c r="J28" s="1392"/>
      <c r="K28" s="656">
        <v>432</v>
      </c>
      <c r="L28" s="665"/>
      <c r="M28" s="665"/>
      <c r="N28" s="665">
        <v>1524</v>
      </c>
      <c r="O28" s="660"/>
      <c r="P28" s="660"/>
      <c r="Q28" s="660"/>
      <c r="R28" s="661"/>
      <c r="S28" s="662"/>
      <c r="T28" s="663"/>
      <c r="U28" s="663"/>
      <c r="V28" s="660"/>
      <c r="W28" s="656"/>
      <c r="X28" s="662"/>
      <c r="Y28" s="664"/>
      <c r="Z28" s="663"/>
      <c r="AA28" s="665"/>
      <c r="AB28" s="665"/>
      <c r="AC28" s="660"/>
      <c r="AD28" s="662"/>
    </row>
    <row r="29" spans="1:31" s="6" customFormat="1" ht="12.75">
      <c r="A29" s="1"/>
      <c r="B29" s="1483" t="s">
        <v>145</v>
      </c>
      <c r="C29" s="1424"/>
      <c r="D29" s="1438">
        <v>44</v>
      </c>
      <c r="E29" s="1418">
        <f>D29/$D$93</f>
        <v>0.052256532066508314</v>
      </c>
      <c r="F29" s="1415">
        <f>COUNTA(K29:AD31)</f>
        <v>10</v>
      </c>
      <c r="G29" s="1418">
        <f>F29/D29</f>
        <v>0.22727272727272727</v>
      </c>
      <c r="H29" s="1467">
        <f>$K$5*COUNTA(K29:K31)+$L$5*COUNTA(L29:L31)+$M$5*COUNTA(M29:M31)+$N$5*COUNTA(N29:N31)+$P$5*COUNTA(P29:P31)+$Q$5*COUNTA(Q29:Q31)+$R$5*COUNTA(R29:R31)+$S$5*COUNTA(S29:S31)+$T$5*COUNTA(T29:T31)+$U$5*COUNTA(U29:U31)+$V$5*COUNTA(V29:V31)+$W$5*COUNTA(W29:W31)+$X$5*COUNTA(X29:X31)+$Y$5*COUNTA(Y29:Y31)+$Z$5*COUNTA(Z29:Z31)+$AA$5*COUNTA(AA29:AA31)+$AB$5*COUNTA(AB29:AB31)+$AC$5*COUNTA(AC29:AC31)+$AD$5*COUNTA(AD29:AD31)</f>
        <v>3492.2400000000007</v>
      </c>
      <c r="I29" s="1387">
        <f>H29/H93</f>
        <v>0.06580276017201757</v>
      </c>
      <c r="J29" s="1390">
        <f>H29/D29</f>
        <v>79.36909090909093</v>
      </c>
      <c r="K29" s="638">
        <v>1575</v>
      </c>
      <c r="L29" s="639"/>
      <c r="M29" s="689"/>
      <c r="N29" s="689"/>
      <c r="O29" s="690"/>
      <c r="P29" s="642"/>
      <c r="Q29" s="642"/>
      <c r="R29" s="643"/>
      <c r="S29" s="644"/>
      <c r="T29" s="645"/>
      <c r="U29" s="645"/>
      <c r="V29" s="642">
        <v>14</v>
      </c>
      <c r="W29" s="638"/>
      <c r="X29" s="644"/>
      <c r="Y29" s="646"/>
      <c r="Z29" s="645">
        <v>1563</v>
      </c>
      <c r="AA29" s="639"/>
      <c r="AB29" s="639"/>
      <c r="AC29" s="642"/>
      <c r="AD29" s="644"/>
      <c r="AE29" s="1311"/>
    </row>
    <row r="30" spans="2:31" s="1" customFormat="1" ht="12.75">
      <c r="B30" s="1484"/>
      <c r="C30" s="1432"/>
      <c r="D30" s="1434"/>
      <c r="E30" s="1419"/>
      <c r="F30" s="1416"/>
      <c r="G30" s="1419"/>
      <c r="H30" s="1468"/>
      <c r="I30" s="1388"/>
      <c r="J30" s="1391"/>
      <c r="K30" s="647">
        <v>119</v>
      </c>
      <c r="L30" s="648"/>
      <c r="M30" s="648"/>
      <c r="N30" s="648">
        <v>102</v>
      </c>
      <c r="O30" s="651"/>
      <c r="P30" s="651"/>
      <c r="Q30" s="651">
        <v>921</v>
      </c>
      <c r="R30" s="652"/>
      <c r="S30" s="653"/>
      <c r="T30" s="654"/>
      <c r="U30" s="654"/>
      <c r="V30" s="651"/>
      <c r="W30" s="647"/>
      <c r="X30" s="653"/>
      <c r="Y30" s="655">
        <v>551</v>
      </c>
      <c r="Z30" s="654">
        <v>402</v>
      </c>
      <c r="AA30" s="648"/>
      <c r="AB30" s="648"/>
      <c r="AC30" s="651"/>
      <c r="AD30" s="653"/>
      <c r="AE30" s="1311"/>
    </row>
    <row r="31" spans="2:31" s="1" customFormat="1" ht="13.5" thickBot="1">
      <c r="B31" s="1484"/>
      <c r="C31" s="1432"/>
      <c r="D31" s="1434"/>
      <c r="E31" s="1419"/>
      <c r="F31" s="1416"/>
      <c r="G31" s="1419"/>
      <c r="H31" s="1469"/>
      <c r="I31" s="1388"/>
      <c r="J31" s="1392"/>
      <c r="K31" s="691" t="s">
        <v>217</v>
      </c>
      <c r="L31" s="665"/>
      <c r="M31" s="665"/>
      <c r="N31" s="665">
        <v>107</v>
      </c>
      <c r="O31" s="660"/>
      <c r="P31" s="660"/>
      <c r="Q31" s="660"/>
      <c r="R31" s="661"/>
      <c r="S31" s="662"/>
      <c r="T31" s="663"/>
      <c r="U31" s="663"/>
      <c r="V31" s="660"/>
      <c r="W31" s="656"/>
      <c r="X31" s="662"/>
      <c r="Y31" s="664"/>
      <c r="Z31" s="663"/>
      <c r="AA31" s="665"/>
      <c r="AB31" s="665"/>
      <c r="AC31" s="660"/>
      <c r="AD31" s="662"/>
      <c r="AE31" s="1311"/>
    </row>
    <row r="32" spans="2:31" s="1" customFormat="1" ht="12.75">
      <c r="B32" s="1477" t="s">
        <v>146</v>
      </c>
      <c r="C32" s="1478"/>
      <c r="D32" s="1415">
        <v>19</v>
      </c>
      <c r="E32" s="1418">
        <f>D32/$D$93</f>
        <v>0.022565320665083134</v>
      </c>
      <c r="F32" s="1415">
        <f>COUNTA(K32:AD34)</f>
        <v>3</v>
      </c>
      <c r="G32" s="1418">
        <f>F32/D32</f>
        <v>0.15789473684210525</v>
      </c>
      <c r="H32" s="1467">
        <f>$K$5*COUNTA(K32:K34)+$L$5*COUNTA(L32:L34)+$M$5*COUNTA(M32:M34)+$N$5*COUNTA(N32:N34)+$P$5*COUNTA(P32:P34)+$Q$5*COUNTA(Q32:Q34)+$R$5*COUNTA(R32:R34)+$S$5*COUNTA(S32:S34)+$T$5*COUNTA(T32:T34)+$U$5*COUNTA(U32:U34)+$V$5*COUNTA(V32:V34)+$W$5*COUNTA(W32:W34)+$X$5*COUNTA(X32:X34)+$Y$5*COUNTA(Y32:Y34)+$Z$5*COUNTA(Z32:Z34)+$AA$5*COUNTA(AA32:AA34)+$AB$5*COUNTA(AB32:AB34)+$AC$5*COUNTA(AC32:AC34)+$AD$5*COUNTA(AD32:AD34)</f>
        <v>724.09</v>
      </c>
      <c r="I32" s="1387">
        <f>H32/H93</f>
        <v>0.013643713093302921</v>
      </c>
      <c r="J32" s="1390">
        <f>H32/D32</f>
        <v>38.11</v>
      </c>
      <c r="K32" s="692"/>
      <c r="L32" s="639"/>
      <c r="M32" s="639"/>
      <c r="N32" s="639">
        <v>510</v>
      </c>
      <c r="O32" s="642"/>
      <c r="P32" s="642"/>
      <c r="Q32" s="642"/>
      <c r="R32" s="643"/>
      <c r="S32" s="644"/>
      <c r="T32" s="645"/>
      <c r="U32" s="645"/>
      <c r="V32" s="642"/>
      <c r="W32" s="638"/>
      <c r="X32" s="644"/>
      <c r="Y32" s="646"/>
      <c r="Z32" s="645"/>
      <c r="AA32" s="639">
        <v>236</v>
      </c>
      <c r="AB32" s="639"/>
      <c r="AC32" s="642"/>
      <c r="AD32" s="644"/>
      <c r="AE32" s="385"/>
    </row>
    <row r="33" spans="2:31" s="1" customFormat="1" ht="12.75">
      <c r="B33" s="1507"/>
      <c r="C33" s="1508"/>
      <c r="D33" s="1416"/>
      <c r="E33" s="1419"/>
      <c r="F33" s="1416"/>
      <c r="G33" s="1419"/>
      <c r="H33" s="1468"/>
      <c r="I33" s="1388"/>
      <c r="J33" s="1391"/>
      <c r="K33" s="693"/>
      <c r="L33" s="648"/>
      <c r="M33" s="648"/>
      <c r="N33" s="648"/>
      <c r="O33" s="651"/>
      <c r="P33" s="651"/>
      <c r="Q33" s="651"/>
      <c r="R33" s="652"/>
      <c r="S33" s="653"/>
      <c r="T33" s="654"/>
      <c r="U33" s="654"/>
      <c r="V33" s="651"/>
      <c r="W33" s="647">
        <v>386</v>
      </c>
      <c r="X33" s="653"/>
      <c r="Y33" s="655"/>
      <c r="Z33" s="654"/>
      <c r="AA33" s="648"/>
      <c r="AB33" s="648"/>
      <c r="AC33" s="651"/>
      <c r="AD33" s="653"/>
      <c r="AE33" s="385"/>
    </row>
    <row r="34" spans="2:30" s="1" customFormat="1" ht="13.5" thickBot="1">
      <c r="B34" s="1479"/>
      <c r="C34" s="1480"/>
      <c r="D34" s="1417"/>
      <c r="E34" s="1420"/>
      <c r="F34" s="1417"/>
      <c r="G34" s="1420"/>
      <c r="H34" s="1469"/>
      <c r="I34" s="1389"/>
      <c r="J34" s="1392"/>
      <c r="K34" s="656"/>
      <c r="L34" s="665"/>
      <c r="M34" s="665"/>
      <c r="N34" s="665"/>
      <c r="O34" s="660"/>
      <c r="P34" s="660"/>
      <c r="Q34" s="660"/>
      <c r="R34" s="661"/>
      <c r="S34" s="662"/>
      <c r="T34" s="663"/>
      <c r="U34" s="663"/>
      <c r="V34" s="660"/>
      <c r="W34" s="656"/>
      <c r="X34" s="662"/>
      <c r="Y34" s="664"/>
      <c r="Z34" s="663"/>
      <c r="AA34" s="665"/>
      <c r="AB34" s="665"/>
      <c r="AC34" s="660"/>
      <c r="AD34" s="662"/>
    </row>
    <row r="35" spans="1:30" s="6" customFormat="1" ht="12.75">
      <c r="A35" s="1"/>
      <c r="B35" s="1424" t="s">
        <v>147</v>
      </c>
      <c r="C35" s="1435"/>
      <c r="D35" s="1438">
        <v>23</v>
      </c>
      <c r="E35" s="1418">
        <f>D35/$D$93</f>
        <v>0.027315914489311165</v>
      </c>
      <c r="F35" s="1415">
        <f>COUNTA(K35:AD37)</f>
        <v>4</v>
      </c>
      <c r="G35" s="1418">
        <f>F35/D35</f>
        <v>0.17391304347826086</v>
      </c>
      <c r="H35" s="1467">
        <f>$K$5*COUNTA(K35:K37)+$L$5*COUNTA(L35:L37)+$M$5*COUNTA(M35:M37)+$N$5*COUNTA(N35:N37)+$P$5*COUNTA(P35:P37)+$Q$5*COUNTA(Q35:Q37)+$R$5*COUNTA(R35:R37)+$S$5*COUNTA(S35:S37)+$T$5*COUNTA(T35:T37)+$U$5*COUNTA(U35:U37)+$V$5*COUNTA(V35:V37)+$W$5*COUNTA(W35:W37)+$X$5*COUNTA(X35:X37)+$Y$5*COUNTA(Y35:Y37)+$Z$5*COUNTA(Z35:Z37)+$AA$5*COUNTA(AA35:AA37)+$AB$5*COUNTA(AB35:AB37)+$AC$5*COUNTA(AC35:AC37)+$AD$5*COUNTA(AD35:AD37)</f>
        <v>595.5600000000001</v>
      </c>
      <c r="I35" s="1387">
        <f>H35/H93</f>
        <v>0.011221878177916403</v>
      </c>
      <c r="J35" s="1390">
        <f>H35/D35</f>
        <v>25.893913043478264</v>
      </c>
      <c r="K35" s="638"/>
      <c r="L35" s="639">
        <v>442</v>
      </c>
      <c r="M35" s="639"/>
      <c r="N35" s="639"/>
      <c r="O35" s="642"/>
      <c r="P35" s="642"/>
      <c r="Q35" s="642"/>
      <c r="R35" s="643"/>
      <c r="S35" s="644"/>
      <c r="T35" s="645"/>
      <c r="U35" s="645"/>
      <c r="V35" s="642"/>
      <c r="W35" s="638">
        <v>757</v>
      </c>
      <c r="X35" s="644"/>
      <c r="Y35" s="646">
        <v>542</v>
      </c>
      <c r="Z35" s="645"/>
      <c r="AA35" s="639"/>
      <c r="AB35" s="639"/>
      <c r="AC35" s="642"/>
      <c r="AD35" s="644"/>
    </row>
    <row r="36" spans="1:30" s="6" customFormat="1" ht="12.75">
      <c r="A36" s="1"/>
      <c r="B36" s="1432"/>
      <c r="C36" s="1433"/>
      <c r="D36" s="1434"/>
      <c r="E36" s="1419"/>
      <c r="F36" s="1416"/>
      <c r="G36" s="1419"/>
      <c r="H36" s="1468"/>
      <c r="I36" s="1388"/>
      <c r="J36" s="1391"/>
      <c r="K36" s="647"/>
      <c r="L36" s="648"/>
      <c r="M36" s="648"/>
      <c r="N36" s="648"/>
      <c r="O36" s="651"/>
      <c r="P36" s="651"/>
      <c r="Q36" s="651"/>
      <c r="R36" s="652"/>
      <c r="S36" s="653"/>
      <c r="T36" s="654"/>
      <c r="U36" s="654"/>
      <c r="V36" s="651"/>
      <c r="W36" s="647"/>
      <c r="X36" s="653"/>
      <c r="Y36" s="655">
        <v>389</v>
      </c>
      <c r="Z36" s="654"/>
      <c r="AA36" s="648"/>
      <c r="AB36" s="648"/>
      <c r="AC36" s="651"/>
      <c r="AD36" s="653"/>
    </row>
    <row r="37" spans="1:30" s="6" customFormat="1" ht="13.5" thickBot="1">
      <c r="A37" s="1"/>
      <c r="B37" s="1436"/>
      <c r="C37" s="1437"/>
      <c r="D37" s="1439"/>
      <c r="E37" s="1420"/>
      <c r="F37" s="1417"/>
      <c r="G37" s="1420"/>
      <c r="H37" s="1469"/>
      <c r="I37" s="1389"/>
      <c r="J37" s="1392"/>
      <c r="K37" s="656"/>
      <c r="L37" s="665"/>
      <c r="M37" s="665"/>
      <c r="N37" s="665"/>
      <c r="O37" s="660"/>
      <c r="P37" s="660"/>
      <c r="Q37" s="660"/>
      <c r="R37" s="661"/>
      <c r="S37" s="662"/>
      <c r="T37" s="663"/>
      <c r="U37" s="663"/>
      <c r="V37" s="660"/>
      <c r="W37" s="656"/>
      <c r="X37" s="662"/>
      <c r="Y37" s="664"/>
      <c r="Z37" s="663"/>
      <c r="AA37" s="665"/>
      <c r="AB37" s="665"/>
      <c r="AC37" s="660"/>
      <c r="AD37" s="662"/>
    </row>
    <row r="38" spans="2:30" s="1" customFormat="1" ht="12.75">
      <c r="B38" s="1473" t="s">
        <v>148</v>
      </c>
      <c r="C38" s="1474"/>
      <c r="D38" s="1475">
        <v>34</v>
      </c>
      <c r="E38" s="1476">
        <f>D38/$D$93</f>
        <v>0.040380047505938245</v>
      </c>
      <c r="F38" s="1415">
        <f>COUNTA(K38:AD40)</f>
        <v>9</v>
      </c>
      <c r="G38" s="1418">
        <f>F38/D38</f>
        <v>0.2647058823529412</v>
      </c>
      <c r="H38" s="1467">
        <f>$K$5*COUNTA(K38:K40)+$L$5*COUNTA(L38:L40)+$M$5*COUNTA(M38:M40)+$N$5*COUNTA(N38:N40)+$P$5*COUNTA(P38:P40)+$Q$5*COUNTA(Q38:Q40)+$R$5*COUNTA(R38:R40)+$S$5*COUNTA(S38:S40)+$T$5*COUNTA(T38:T40)+$U$5*COUNTA(U38:U40)+$V$5*COUNTA(V38:V40)+$W$5*COUNTA(W38:W40)+$X$5*COUNTA(X38:X40)+$Y$5*COUNTA(Y38:Y40)+$Z$5*COUNTA(Z38:Z40)+$AA$5*COUNTA(AA38:AA40)+$AB$5*COUNTA(AB38:AB40)+$AC$5*COUNTA(AC38:AC40)+$AD$5*COUNTA(AD38:AD40)</f>
        <v>2527.6800000000003</v>
      </c>
      <c r="I38" s="1387">
        <f>H38/H93</f>
        <v>0.047627975405930105</v>
      </c>
      <c r="J38" s="1390">
        <f>H38/D38</f>
        <v>74.34352941176472</v>
      </c>
      <c r="K38" s="638">
        <v>406</v>
      </c>
      <c r="L38" s="639"/>
      <c r="M38" s="639"/>
      <c r="N38" s="639"/>
      <c r="O38" s="642"/>
      <c r="P38" s="642"/>
      <c r="Q38" s="642"/>
      <c r="R38" s="643"/>
      <c r="S38" s="644"/>
      <c r="T38" s="645"/>
      <c r="U38" s="645"/>
      <c r="V38" s="642">
        <v>457</v>
      </c>
      <c r="W38" s="638"/>
      <c r="X38" s="644"/>
      <c r="Y38" s="646">
        <v>593</v>
      </c>
      <c r="Z38" s="645"/>
      <c r="AA38" s="639"/>
      <c r="AB38" s="639"/>
      <c r="AC38" s="642"/>
      <c r="AD38" s="644"/>
    </row>
    <row r="39" spans="2:30" s="1" customFormat="1" ht="12.75">
      <c r="B39" s="1399"/>
      <c r="C39" s="1400"/>
      <c r="D39" s="1407"/>
      <c r="E39" s="1411"/>
      <c r="F39" s="1416"/>
      <c r="G39" s="1419"/>
      <c r="H39" s="1468"/>
      <c r="I39" s="1388"/>
      <c r="J39" s="1391"/>
      <c r="K39" s="647"/>
      <c r="L39" s="648">
        <v>993</v>
      </c>
      <c r="M39" s="648"/>
      <c r="N39" s="648"/>
      <c r="O39" s="651"/>
      <c r="P39" s="651"/>
      <c r="Q39" s="651"/>
      <c r="R39" s="652"/>
      <c r="S39" s="653"/>
      <c r="T39" s="654"/>
      <c r="U39" s="654"/>
      <c r="V39" s="651">
        <v>253</v>
      </c>
      <c r="W39" s="647"/>
      <c r="X39" s="653"/>
      <c r="Y39" s="655">
        <v>649</v>
      </c>
      <c r="Z39" s="654"/>
      <c r="AA39" s="648"/>
      <c r="AB39" s="648"/>
      <c r="AC39" s="651"/>
      <c r="AD39" s="653"/>
    </row>
    <row r="40" spans="2:30" s="1" customFormat="1" ht="13.5" thickBot="1">
      <c r="B40" s="1401"/>
      <c r="C40" s="1402"/>
      <c r="D40" s="1408"/>
      <c r="E40" s="1412"/>
      <c r="F40" s="1417"/>
      <c r="G40" s="1420"/>
      <c r="H40" s="1469"/>
      <c r="I40" s="1389"/>
      <c r="J40" s="1392"/>
      <c r="K40" s="656"/>
      <c r="L40" s="665"/>
      <c r="M40" s="665">
        <v>280</v>
      </c>
      <c r="N40" s="665"/>
      <c r="O40" s="660"/>
      <c r="P40" s="660"/>
      <c r="Q40" s="660">
        <v>256</v>
      </c>
      <c r="R40" s="661"/>
      <c r="S40" s="662"/>
      <c r="T40" s="663"/>
      <c r="U40" s="663"/>
      <c r="V40" s="660"/>
      <c r="W40" s="656"/>
      <c r="X40" s="662"/>
      <c r="Y40" s="664">
        <v>124</v>
      </c>
      <c r="Z40" s="663"/>
      <c r="AA40" s="665"/>
      <c r="AB40" s="665"/>
      <c r="AC40" s="660"/>
      <c r="AD40" s="662"/>
    </row>
    <row r="41" spans="2:30" s="1" customFormat="1" ht="12.75">
      <c r="B41" s="1424" t="s">
        <v>149</v>
      </c>
      <c r="C41" s="1435"/>
      <c r="D41" s="1438">
        <v>15</v>
      </c>
      <c r="E41" s="1418">
        <f>D41/$D$93</f>
        <v>0.017814726840855107</v>
      </c>
      <c r="F41" s="1415">
        <f>COUNTA(K41:AD43)</f>
        <v>3</v>
      </c>
      <c r="G41" s="1418">
        <f>F41/D41</f>
        <v>0.2</v>
      </c>
      <c r="H41" s="1467">
        <f>$K$5*COUNTA(K41:K43)+$L$5*COUNTA(L41:L43)+$M$5*COUNTA(M41:M43)+$N$5*COUNTA(N41:N43)+$P$5*COUNTA(P41:P43)+$Q$5*COUNTA(Q41:Q43)+$R$5*COUNTA(R41:R43)+$S$5*COUNTA(S41:S43)+$T$5*COUNTA(T41:T43)+$U$5*COUNTA(U41:U43)+$V$5*COUNTA(V41:V43)+$W$5*COUNTA(W41:W43)+$X$5*COUNTA(X41:X43)+$Y$5*COUNTA(Y41:Y43)+$Z$5*COUNTA(Z41:Z43)+$AA$5*COUNTA(AA41:AA43)+$AB$5*COUNTA(AB41:AB43)+$AC$5*COUNTA(AC41:AC43)+$AD$5*COUNTA(AD41:AD43)</f>
        <v>1031.28</v>
      </c>
      <c r="I41" s="1387">
        <f>H41/H93</f>
        <v>0.019431960721542123</v>
      </c>
      <c r="J41" s="1470">
        <f>H41/D41</f>
        <v>68.752</v>
      </c>
      <c r="K41" s="638"/>
      <c r="L41" s="639"/>
      <c r="M41" s="639"/>
      <c r="N41" s="639">
        <v>681</v>
      </c>
      <c r="O41" s="642"/>
      <c r="P41" s="642"/>
      <c r="Q41" s="642"/>
      <c r="R41" s="643"/>
      <c r="S41" s="644"/>
      <c r="T41" s="645"/>
      <c r="U41" s="645"/>
      <c r="V41" s="642"/>
      <c r="W41" s="638"/>
      <c r="X41" s="644"/>
      <c r="Y41" s="646"/>
      <c r="Z41" s="645"/>
      <c r="AA41" s="639"/>
      <c r="AB41" s="639"/>
      <c r="AC41" s="642"/>
      <c r="AD41" s="644"/>
    </row>
    <row r="42" spans="2:30" s="1" customFormat="1" ht="12.75">
      <c r="B42" s="1432"/>
      <c r="C42" s="1433"/>
      <c r="D42" s="1434"/>
      <c r="E42" s="1419"/>
      <c r="F42" s="1416"/>
      <c r="G42" s="1419"/>
      <c r="H42" s="1468"/>
      <c r="I42" s="1388"/>
      <c r="J42" s="1471"/>
      <c r="K42" s="647"/>
      <c r="L42" s="648"/>
      <c r="M42" s="648"/>
      <c r="N42" s="648">
        <v>1570</v>
      </c>
      <c r="O42" s="651"/>
      <c r="P42" s="651"/>
      <c r="Q42" s="651"/>
      <c r="R42" s="652"/>
      <c r="S42" s="653"/>
      <c r="T42" s="654"/>
      <c r="U42" s="654"/>
      <c r="V42" s="651"/>
      <c r="W42" s="647"/>
      <c r="X42" s="653"/>
      <c r="Y42" s="655"/>
      <c r="Z42" s="654"/>
      <c r="AA42" s="648"/>
      <c r="AB42" s="648"/>
      <c r="AC42" s="651"/>
      <c r="AD42" s="653"/>
    </row>
    <row r="43" spans="2:30" s="1" customFormat="1" ht="13.5" thickBot="1">
      <c r="B43" s="1436"/>
      <c r="C43" s="1437"/>
      <c r="D43" s="1439"/>
      <c r="E43" s="1420"/>
      <c r="F43" s="1417"/>
      <c r="G43" s="1420"/>
      <c r="H43" s="1469"/>
      <c r="I43" s="1389"/>
      <c r="J43" s="1472"/>
      <c r="K43" s="656"/>
      <c r="L43" s="657"/>
      <c r="M43" s="665"/>
      <c r="N43" s="665"/>
      <c r="O43" s="660"/>
      <c r="P43" s="660"/>
      <c r="Q43" s="660">
        <v>374</v>
      </c>
      <c r="R43" s="661"/>
      <c r="S43" s="662"/>
      <c r="T43" s="663"/>
      <c r="U43" s="663"/>
      <c r="V43" s="660"/>
      <c r="W43" s="656"/>
      <c r="X43" s="662"/>
      <c r="Y43" s="664"/>
      <c r="Z43" s="663"/>
      <c r="AA43" s="665"/>
      <c r="AB43" s="665"/>
      <c r="AC43" s="660"/>
      <c r="AD43" s="662"/>
    </row>
    <row r="44" spans="2:30" s="1" customFormat="1" ht="12.75">
      <c r="B44" s="1449" t="s">
        <v>150</v>
      </c>
      <c r="C44" s="1450"/>
      <c r="D44" s="1455">
        <v>47</v>
      </c>
      <c r="E44" s="1458">
        <f>D44/$D$93</f>
        <v>0.055819477434679333</v>
      </c>
      <c r="F44" s="1461">
        <f>COUNTA(K44:AD48)</f>
        <v>12</v>
      </c>
      <c r="G44" s="1464">
        <f>F44/D44</f>
        <v>0.2553191489361702</v>
      </c>
      <c r="H44" s="1467">
        <f>$K$5*COUNTA(K44:K48)+$L$5*COUNTA(L44:L48)+$M$5*COUNTA(M44:M48)+$N$5*COUNTA(N44:N48)+$P$5*COUNTA(P44:P48)+$Q$5*COUNTA(Q44:Q48)+$R$5*COUNTA(R44:R48)+$S$5*COUNTA(S44:S48)+$T$5*COUNTA(T44:T48)+$U$5*COUNTA(U44:U48)+$V$5*COUNTA(V44:V48)+$W$5*COUNTA(W44:W48)+$X$5*COUNTA(X44:X48)+$Y$5*COUNTA(Y44:Y48)+$Z$5*COUNTA(Z44:Z48)+$AA$5*COUNTA(AA44:AA48)+$AB$5*COUNTA(AB44:AB48)+$AC$5*COUNTA(AC44:AC48)+$AD$5*COUNTA(AD44:AD48)</f>
        <v>3546.19</v>
      </c>
      <c r="I44" s="1446">
        <f>H44/H93</f>
        <v>0.06681931656885177</v>
      </c>
      <c r="J44" s="1390">
        <f>H44/D44</f>
        <v>75.45085106382979</v>
      </c>
      <c r="K44" s="692"/>
      <c r="L44" s="639">
        <v>60</v>
      </c>
      <c r="M44" s="639"/>
      <c r="N44" s="639"/>
      <c r="O44" s="642"/>
      <c r="P44" s="642"/>
      <c r="Q44" s="642"/>
      <c r="R44" s="643"/>
      <c r="S44" s="644"/>
      <c r="T44" s="645"/>
      <c r="U44" s="645"/>
      <c r="V44" s="642"/>
      <c r="W44" s="638"/>
      <c r="X44" s="644">
        <v>586</v>
      </c>
      <c r="Y44" s="646"/>
      <c r="Z44" s="645"/>
      <c r="AA44" s="639">
        <v>1592</v>
      </c>
      <c r="AB44" s="639"/>
      <c r="AC44" s="642"/>
      <c r="AD44" s="644"/>
    </row>
    <row r="45" spans="2:30" s="1" customFormat="1" ht="12.75">
      <c r="B45" s="1534"/>
      <c r="C45" s="1535"/>
      <c r="D45" s="1536"/>
      <c r="E45" s="1537"/>
      <c r="F45" s="1462"/>
      <c r="G45" s="1465"/>
      <c r="H45" s="1468"/>
      <c r="I45" s="1447"/>
      <c r="J45" s="1391"/>
      <c r="K45" s="693"/>
      <c r="L45" s="648">
        <v>881</v>
      </c>
      <c r="M45" s="648"/>
      <c r="N45" s="648"/>
      <c r="O45" s="651"/>
      <c r="P45" s="651"/>
      <c r="Q45" s="651"/>
      <c r="R45" s="652"/>
      <c r="S45" s="653"/>
      <c r="T45" s="654"/>
      <c r="U45" s="654"/>
      <c r="V45" s="651"/>
      <c r="W45" s="647"/>
      <c r="X45" s="653"/>
      <c r="Y45" s="655"/>
      <c r="Z45" s="654"/>
      <c r="AA45" s="648">
        <v>251</v>
      </c>
      <c r="AB45" s="648"/>
      <c r="AC45" s="651"/>
      <c r="AD45" s="653"/>
    </row>
    <row r="46" spans="2:30" s="1" customFormat="1" ht="12.75">
      <c r="B46" s="1451"/>
      <c r="C46" s="1452"/>
      <c r="D46" s="1456"/>
      <c r="E46" s="1459"/>
      <c r="F46" s="1462"/>
      <c r="G46" s="1465"/>
      <c r="H46" s="1468"/>
      <c r="I46" s="1447"/>
      <c r="J46" s="1391"/>
      <c r="K46" s="647"/>
      <c r="L46" s="648">
        <v>568</v>
      </c>
      <c r="M46" s="648"/>
      <c r="N46" s="648"/>
      <c r="O46" s="651"/>
      <c r="P46" s="651"/>
      <c r="Q46" s="651"/>
      <c r="R46" s="652"/>
      <c r="S46" s="653"/>
      <c r="T46" s="654"/>
      <c r="U46" s="654"/>
      <c r="V46" s="651"/>
      <c r="W46" s="647"/>
      <c r="X46" s="653"/>
      <c r="Y46" s="655"/>
      <c r="Z46" s="654"/>
      <c r="AA46" s="648"/>
      <c r="AB46" s="648"/>
      <c r="AC46" s="651"/>
      <c r="AD46" s="653"/>
    </row>
    <row r="47" spans="2:30" s="1" customFormat="1" ht="12.75">
      <c r="B47" s="1543"/>
      <c r="C47" s="1544"/>
      <c r="D47" s="1545"/>
      <c r="E47" s="1546"/>
      <c r="F47" s="1462"/>
      <c r="G47" s="1465"/>
      <c r="H47" s="1468"/>
      <c r="I47" s="1447"/>
      <c r="J47" s="1391"/>
      <c r="K47" s="668">
        <v>492</v>
      </c>
      <c r="L47" s="677">
        <v>40</v>
      </c>
      <c r="M47" s="677"/>
      <c r="N47" s="677"/>
      <c r="O47" s="672"/>
      <c r="P47" s="672"/>
      <c r="Q47" s="672">
        <v>99</v>
      </c>
      <c r="R47" s="673"/>
      <c r="S47" s="674">
        <v>105</v>
      </c>
      <c r="T47" s="675"/>
      <c r="U47" s="675"/>
      <c r="V47" s="672"/>
      <c r="W47" s="668"/>
      <c r="X47" s="674"/>
      <c r="Y47" s="676"/>
      <c r="Z47" s="675"/>
      <c r="AA47" s="677"/>
      <c r="AB47" s="677"/>
      <c r="AC47" s="672"/>
      <c r="AD47" s="674"/>
    </row>
    <row r="48" spans="2:30" s="1" customFormat="1" ht="13.5" thickBot="1">
      <c r="B48" s="1453"/>
      <c r="C48" s="1454"/>
      <c r="D48" s="1457"/>
      <c r="E48" s="1460"/>
      <c r="F48" s="1463"/>
      <c r="G48" s="1466"/>
      <c r="H48" s="1469"/>
      <c r="I48" s="1448"/>
      <c r="J48" s="1392"/>
      <c r="K48" s="656"/>
      <c r="L48" s="665">
        <v>483</v>
      </c>
      <c r="M48" s="665"/>
      <c r="N48" s="665"/>
      <c r="O48" s="660"/>
      <c r="P48" s="660"/>
      <c r="Q48" s="660"/>
      <c r="R48" s="661"/>
      <c r="S48" s="662"/>
      <c r="T48" s="663"/>
      <c r="U48" s="663"/>
      <c r="V48" s="660"/>
      <c r="W48" s="656"/>
      <c r="X48" s="662"/>
      <c r="Y48" s="664"/>
      <c r="Z48" s="663"/>
      <c r="AA48" s="665"/>
      <c r="AB48" s="665">
        <v>137</v>
      </c>
      <c r="AC48" s="660"/>
      <c r="AD48" s="662"/>
    </row>
    <row r="49" spans="2:30" s="1" customFormat="1" ht="12.75">
      <c r="B49" s="1399" t="s">
        <v>151</v>
      </c>
      <c r="C49" s="1400"/>
      <c r="D49" s="1407">
        <v>51</v>
      </c>
      <c r="E49" s="1411">
        <f>D49/$D$93</f>
        <v>0.060570071258907364</v>
      </c>
      <c r="F49" s="1415">
        <f>COUNTA(K49:AD52)</f>
        <v>12</v>
      </c>
      <c r="G49" s="1418">
        <f>F49/D49</f>
        <v>0.23529411764705882</v>
      </c>
      <c r="H49" s="1467">
        <f>$K$5*COUNTA(K49:K52)+$L$5*COUNTA(L49:L52)+$M$5*COUNTA(M49:M52)+$N$5*COUNTA(N49:N52)+$P$5*COUNTA(P49:P52)+$Q$5*COUNTA(Q49:Q52)+$R$5*COUNTA(R49:R52)+$S$5*COUNTA(S49:S52)+$T$5*COUNTA(T49:T52)+$U$5*COUNTA(U49:U52)+$V$5*COUNTA(V49:V52)+$W$5*COUNTA(W49:W52)+$X$5*COUNTA(X49:X52)+$Y$5*COUNTA(Y49:Y52)+$Z$5*COUNTA(Z49:Z52)+$AA$5*COUNTA(AA49:AA52)+$AB$5*COUNTA(AB49:AB52)+$AC$5*COUNTA(AC49:AC52)+$AD$5*COUNTA(AD49:AD52)</f>
        <v>2979.09</v>
      </c>
      <c r="I49" s="1387">
        <f>H49/H93</f>
        <v>0.05613369779879269</v>
      </c>
      <c r="J49" s="1390">
        <f>H49/D49</f>
        <v>58.413529411764706</v>
      </c>
      <c r="K49" s="638"/>
      <c r="L49" s="639">
        <v>64</v>
      </c>
      <c r="M49" s="639"/>
      <c r="N49" s="639">
        <v>235</v>
      </c>
      <c r="O49" s="642"/>
      <c r="P49" s="642"/>
      <c r="Q49" s="642">
        <v>1526</v>
      </c>
      <c r="R49" s="643"/>
      <c r="S49" s="644"/>
      <c r="T49" s="645">
        <v>446</v>
      </c>
      <c r="U49" s="645"/>
      <c r="V49" s="642">
        <v>807</v>
      </c>
      <c r="W49" s="638"/>
      <c r="X49" s="644"/>
      <c r="Y49" s="646">
        <v>533</v>
      </c>
      <c r="Z49" s="645">
        <v>574</v>
      </c>
      <c r="AA49" s="639"/>
      <c r="AB49" s="639"/>
      <c r="AC49" s="642"/>
      <c r="AD49" s="644">
        <v>195</v>
      </c>
    </row>
    <row r="50" spans="2:30" s="1" customFormat="1" ht="12.75">
      <c r="B50" s="1399"/>
      <c r="C50" s="1400"/>
      <c r="D50" s="1407"/>
      <c r="E50" s="1411"/>
      <c r="F50" s="1416"/>
      <c r="G50" s="1419"/>
      <c r="H50" s="1468"/>
      <c r="I50" s="1388"/>
      <c r="J50" s="1391"/>
      <c r="K50" s="647"/>
      <c r="L50" s="648">
        <v>1541</v>
      </c>
      <c r="M50" s="648"/>
      <c r="N50" s="648"/>
      <c r="O50" s="651"/>
      <c r="P50" s="651"/>
      <c r="Q50" s="651"/>
      <c r="R50" s="652"/>
      <c r="S50" s="653"/>
      <c r="T50" s="654"/>
      <c r="U50" s="654"/>
      <c r="V50" s="651"/>
      <c r="W50" s="647"/>
      <c r="X50" s="653"/>
      <c r="Y50" s="655">
        <v>451</v>
      </c>
      <c r="Z50" s="654">
        <v>464</v>
      </c>
      <c r="AA50" s="648"/>
      <c r="AB50" s="648"/>
      <c r="AC50" s="651"/>
      <c r="AD50" s="653"/>
    </row>
    <row r="51" spans="2:30" s="1" customFormat="1" ht="12.75">
      <c r="B51" s="1399"/>
      <c r="C51" s="1400"/>
      <c r="D51" s="1407"/>
      <c r="E51" s="1411"/>
      <c r="F51" s="1416"/>
      <c r="G51" s="1419"/>
      <c r="H51" s="1468"/>
      <c r="I51" s="1388"/>
      <c r="J51" s="1391"/>
      <c r="K51" s="668"/>
      <c r="L51" s="677"/>
      <c r="M51" s="677"/>
      <c r="N51" s="677"/>
      <c r="O51" s="672"/>
      <c r="P51" s="672"/>
      <c r="Q51" s="672"/>
      <c r="R51" s="673"/>
      <c r="S51" s="674"/>
      <c r="T51" s="675"/>
      <c r="U51" s="675"/>
      <c r="V51" s="672"/>
      <c r="W51" s="668"/>
      <c r="X51" s="674"/>
      <c r="Y51" s="676"/>
      <c r="Z51" s="675"/>
      <c r="AA51" s="677"/>
      <c r="AB51" s="677"/>
      <c r="AC51" s="672"/>
      <c r="AD51" s="674"/>
    </row>
    <row r="52" spans="1:30" s="6" customFormat="1" ht="13.5" thickBot="1">
      <c r="A52" s="1"/>
      <c r="B52" s="1401"/>
      <c r="C52" s="1402"/>
      <c r="D52" s="1408"/>
      <c r="E52" s="1412"/>
      <c r="F52" s="1417"/>
      <c r="G52" s="1420"/>
      <c r="H52" s="1469"/>
      <c r="I52" s="1389"/>
      <c r="J52" s="1392"/>
      <c r="K52" s="656"/>
      <c r="L52" s="665"/>
      <c r="M52" s="665"/>
      <c r="N52" s="665"/>
      <c r="O52" s="660"/>
      <c r="P52" s="660"/>
      <c r="Q52" s="660"/>
      <c r="R52" s="661"/>
      <c r="S52" s="662"/>
      <c r="T52" s="663"/>
      <c r="U52" s="663"/>
      <c r="V52" s="660"/>
      <c r="W52" s="656"/>
      <c r="X52" s="662"/>
      <c r="Y52" s="664">
        <v>565</v>
      </c>
      <c r="Z52" s="663"/>
      <c r="AA52" s="665"/>
      <c r="AB52" s="665"/>
      <c r="AC52" s="660"/>
      <c r="AD52" s="662"/>
    </row>
    <row r="53" spans="2:30" s="1" customFormat="1" ht="13.5" thickBot="1">
      <c r="B53" s="1440" t="s">
        <v>152</v>
      </c>
      <c r="C53" s="1441"/>
      <c r="D53" s="1442">
        <v>39</v>
      </c>
      <c r="E53" s="1443">
        <f>D53/$D$93</f>
        <v>0.04631828978622328</v>
      </c>
      <c r="F53" s="1415">
        <f>COUNTA(K53:AD56)</f>
        <v>10</v>
      </c>
      <c r="G53" s="1418">
        <f>F53/D53</f>
        <v>0.2564102564102564</v>
      </c>
      <c r="H53" s="1467">
        <f>$K$5*COUNTA(K53:K56)+$L$5*COUNTA(L53:L56)+$M$5*COUNTA(M53:M56)+$N$5*COUNTA(N53:N56)+$P$5*COUNTA(P53:P56)+$Q$5*COUNTA(Q53:Q56)+$R$5*COUNTA(R53:R56)+$S$5*COUNTA(S53:S56)+$T$5*COUNTA(T53:T56)+$U$5*COUNTA(U53:U56)+$V$5*COUNTA(V53:V56)+$W$5*COUNTA(W53:W56)+$X$5*COUNTA(X53:X56)+$Y$5*COUNTA(Y53:Y56)+$Z$5*COUNTA(Z53:Z56)+$AA$5*COUNTA(AA53:AA56)+$AB$5*COUNTA(AB53:AB56)+$AC$5*COUNTA(AC53:AC56)+$AD$5*COUNTA(AD53:AD56)</f>
        <v>2202.9900000000002</v>
      </c>
      <c r="I53" s="1387">
        <f>H53/H93</f>
        <v>0.04150998288529797</v>
      </c>
      <c r="J53" s="1390">
        <f>H53/D53</f>
        <v>56.486923076923084</v>
      </c>
      <c r="K53" s="638"/>
      <c r="L53" s="639">
        <v>980</v>
      </c>
      <c r="M53" s="639"/>
      <c r="N53" s="639"/>
      <c r="O53" s="642"/>
      <c r="P53" s="642"/>
      <c r="Q53" s="642"/>
      <c r="R53" s="643"/>
      <c r="S53" s="644"/>
      <c r="T53" s="645">
        <v>1543</v>
      </c>
      <c r="U53" s="645"/>
      <c r="V53" s="642"/>
      <c r="W53" s="638"/>
      <c r="X53" s="644"/>
      <c r="Y53" s="646"/>
      <c r="Z53" s="645"/>
      <c r="AA53" s="639"/>
      <c r="AB53" s="639">
        <v>707</v>
      </c>
      <c r="AC53" s="642"/>
      <c r="AD53" s="644"/>
    </row>
    <row r="54" spans="2:30" s="1" customFormat="1" ht="13.5" thickBot="1">
      <c r="B54" s="1440"/>
      <c r="C54" s="1441"/>
      <c r="D54" s="1442"/>
      <c r="E54" s="1443"/>
      <c r="F54" s="1416"/>
      <c r="G54" s="1419"/>
      <c r="H54" s="1468"/>
      <c r="I54" s="1388"/>
      <c r="J54" s="1391"/>
      <c r="K54" s="647"/>
      <c r="L54" s="648">
        <v>607</v>
      </c>
      <c r="M54" s="648"/>
      <c r="N54" s="648"/>
      <c r="O54" s="651"/>
      <c r="P54" s="651"/>
      <c r="Q54" s="651"/>
      <c r="R54" s="652"/>
      <c r="S54" s="653"/>
      <c r="T54" s="654">
        <v>463</v>
      </c>
      <c r="U54" s="654"/>
      <c r="V54" s="651"/>
      <c r="W54" s="647"/>
      <c r="X54" s="653"/>
      <c r="Y54" s="655"/>
      <c r="Z54" s="654"/>
      <c r="AA54" s="648"/>
      <c r="AB54" s="648">
        <v>494</v>
      </c>
      <c r="AC54" s="651"/>
      <c r="AD54" s="653"/>
    </row>
    <row r="55" spans="2:30" s="1" customFormat="1" ht="13.5" thickBot="1">
      <c r="B55" s="1440"/>
      <c r="C55" s="1441"/>
      <c r="D55" s="1442"/>
      <c r="E55" s="1443"/>
      <c r="F55" s="1416"/>
      <c r="G55" s="1419"/>
      <c r="H55" s="1468"/>
      <c r="I55" s="1388"/>
      <c r="J55" s="1391"/>
      <c r="K55" s="668"/>
      <c r="L55" s="677">
        <v>278</v>
      </c>
      <c r="M55" s="677"/>
      <c r="N55" s="677"/>
      <c r="O55" s="672"/>
      <c r="P55" s="672"/>
      <c r="Q55" s="672"/>
      <c r="R55" s="673"/>
      <c r="S55" s="674"/>
      <c r="T55" s="675">
        <v>157</v>
      </c>
      <c r="U55" s="675"/>
      <c r="V55" s="672"/>
      <c r="W55" s="668"/>
      <c r="X55" s="674"/>
      <c r="Y55" s="676"/>
      <c r="Z55" s="675"/>
      <c r="AA55" s="677"/>
      <c r="AB55" s="677">
        <v>438</v>
      </c>
      <c r="AC55" s="672"/>
      <c r="AD55" s="674"/>
    </row>
    <row r="56" spans="2:30" s="1" customFormat="1" ht="13.5" thickBot="1">
      <c r="B56" s="1440"/>
      <c r="C56" s="1441"/>
      <c r="D56" s="1442"/>
      <c r="E56" s="1443"/>
      <c r="F56" s="1416"/>
      <c r="G56" s="1419"/>
      <c r="H56" s="1469"/>
      <c r="I56" s="1388"/>
      <c r="J56" s="1392"/>
      <c r="K56" s="656"/>
      <c r="L56" s="665">
        <v>19</v>
      </c>
      <c r="M56" s="665"/>
      <c r="N56" s="665"/>
      <c r="O56" s="660"/>
      <c r="P56" s="660"/>
      <c r="Q56" s="660"/>
      <c r="R56" s="661"/>
      <c r="S56" s="662"/>
      <c r="T56" s="663"/>
      <c r="U56" s="663"/>
      <c r="V56" s="660"/>
      <c r="W56" s="656"/>
      <c r="X56" s="662"/>
      <c r="Y56" s="664"/>
      <c r="Z56" s="663"/>
      <c r="AA56" s="665"/>
      <c r="AB56" s="665"/>
      <c r="AC56" s="660"/>
      <c r="AD56" s="662"/>
    </row>
    <row r="57" spans="2:30" s="1" customFormat="1" ht="13.5" thickBot="1">
      <c r="B57" s="1444" t="s">
        <v>153</v>
      </c>
      <c r="C57" s="1445"/>
      <c r="D57" s="1442">
        <v>21</v>
      </c>
      <c r="E57" s="1443">
        <f>D57/$D$93</f>
        <v>0.02494061757719715</v>
      </c>
      <c r="F57" s="1415">
        <f>COUNTA(K57:AD59)</f>
        <v>4</v>
      </c>
      <c r="G57" s="1418">
        <f>F57/D57</f>
        <v>0.19047619047619047</v>
      </c>
      <c r="H57" s="1467">
        <f>$K$5*COUNTA(K57:K59)+$L$5*COUNTA(L57:L59)+$M$5*COUNTA(M57:M59)+$N$5*COUNTA(N57:N59)+$P$5*COUNTA(P57:P59)+$Q$5*COUNTA(Q57:Q59)+$R$5*COUNTA(R57:R59)+$S$5*COUNTA(S57:S59)+$T$5*COUNTA(T57:T59)+$U$5*COUNTA(U57:U59)+$V$5*COUNTA(V57:V59)+$W$5*COUNTA(W57:W59)+$X$5*COUNTA(X57:X59)+$Y$5*COUNTA(Y57:Y59)+$Z$5*COUNTA(Z57:Z59)+$AA$5*COUNTA(AA57:AA59)+$AB$5*COUNTA(AB57:AB59)+$AC$5*COUNTA(AC57:AC59)+$AD$5*COUNTA(AD57:AD59)</f>
        <v>1370.83</v>
      </c>
      <c r="I57" s="1387">
        <f>H57/H93</f>
        <v>0.02582995376222906</v>
      </c>
      <c r="J57" s="1391">
        <f>H57/D57</f>
        <v>65.27761904761904</v>
      </c>
      <c r="K57" s="638"/>
      <c r="L57" s="639"/>
      <c r="M57" s="639"/>
      <c r="N57" s="639"/>
      <c r="O57" s="642"/>
      <c r="P57" s="642"/>
      <c r="Q57" s="642"/>
      <c r="R57" s="643"/>
      <c r="S57" s="644"/>
      <c r="T57" s="645"/>
      <c r="U57" s="645">
        <v>351</v>
      </c>
      <c r="V57" s="642"/>
      <c r="W57" s="638"/>
      <c r="X57" s="644"/>
      <c r="Y57" s="646"/>
      <c r="Z57" s="645"/>
      <c r="AA57" s="639"/>
      <c r="AB57" s="639"/>
      <c r="AC57" s="642"/>
      <c r="AD57" s="644"/>
    </row>
    <row r="58" spans="2:30" s="1" customFormat="1" ht="13.5" thickBot="1">
      <c r="B58" s="1444"/>
      <c r="C58" s="1445"/>
      <c r="D58" s="1442"/>
      <c r="E58" s="1443"/>
      <c r="F58" s="1416"/>
      <c r="G58" s="1419"/>
      <c r="H58" s="1468"/>
      <c r="I58" s="1388"/>
      <c r="J58" s="1391"/>
      <c r="K58" s="647"/>
      <c r="L58" s="648"/>
      <c r="M58" s="648"/>
      <c r="N58" s="648">
        <v>821</v>
      </c>
      <c r="O58" s="651"/>
      <c r="P58" s="651"/>
      <c r="Q58" s="651"/>
      <c r="R58" s="652"/>
      <c r="S58" s="653"/>
      <c r="T58" s="654"/>
      <c r="U58" s="654"/>
      <c r="V58" s="651">
        <v>245</v>
      </c>
      <c r="W58" s="647"/>
      <c r="X58" s="653"/>
      <c r="Y58" s="655"/>
      <c r="Z58" s="654"/>
      <c r="AA58" s="648"/>
      <c r="AB58" s="648"/>
      <c r="AC58" s="651"/>
      <c r="AD58" s="653"/>
    </row>
    <row r="59" spans="1:30" s="6" customFormat="1" ht="13.5" thickBot="1">
      <c r="A59" s="1"/>
      <c r="B59" s="1444"/>
      <c r="C59" s="1445"/>
      <c r="D59" s="1442"/>
      <c r="E59" s="1443"/>
      <c r="F59" s="1417"/>
      <c r="G59" s="1420"/>
      <c r="H59" s="1469"/>
      <c r="I59" s="1389"/>
      <c r="J59" s="1391"/>
      <c r="K59" s="656"/>
      <c r="L59" s="657"/>
      <c r="M59" s="665"/>
      <c r="N59" s="665"/>
      <c r="O59" s="660"/>
      <c r="P59" s="660"/>
      <c r="Q59" s="660"/>
      <c r="R59" s="661"/>
      <c r="S59" s="662"/>
      <c r="T59" s="663"/>
      <c r="U59" s="663"/>
      <c r="V59" s="660">
        <v>613</v>
      </c>
      <c r="W59" s="656"/>
      <c r="X59" s="662"/>
      <c r="Y59" s="664"/>
      <c r="Z59" s="663"/>
      <c r="AA59" s="665"/>
      <c r="AB59" s="665"/>
      <c r="AC59" s="660"/>
      <c r="AD59" s="662"/>
    </row>
    <row r="60" spans="2:30" s="1" customFormat="1" ht="13.5" thickBot="1">
      <c r="B60" s="1444" t="s">
        <v>154</v>
      </c>
      <c r="C60" s="1445"/>
      <c r="D60" s="1442">
        <v>21</v>
      </c>
      <c r="E60" s="1443">
        <f>D60/$D$93</f>
        <v>0.02494061757719715</v>
      </c>
      <c r="F60" s="1415">
        <f>COUNTA(K60:AD62)</f>
        <v>4</v>
      </c>
      <c r="G60" s="1418">
        <f>F60/D60</f>
        <v>0.19047619047619047</v>
      </c>
      <c r="H60" s="1467">
        <f>$K$5*COUNTA(K60:K62)+$L$5*COUNTA(L60:L62)+$M$5*COUNTA(M60:M62)+$N$5*COUNTA(N60:N62)+$P$5*COUNTA(P60:P62)+$Q$5*COUNTA(Q60:Q62)+$R$5*COUNTA(R60:R62)+$S$5*COUNTA(S60:S62)+$T$5*COUNTA(T60:T62)+$U$5*COUNTA(U60:U62)+$V$5*COUNTA(V60:V62)+$W$5*COUNTA(W60:W62)+$X$5*COUNTA(X60:X62)+$Y$5*COUNTA(Y60:Y62)+$Z$5*COUNTA(Z60:Z62)+$AA$5*COUNTA(AA60:AA62)+$AB$5*COUNTA(AB60:AB62)+$AC$5*COUNTA(AC60:AC62)+$AD$5*COUNTA(AD60:AD62)</f>
        <v>2060.29</v>
      </c>
      <c r="I60" s="1387">
        <f>H60/H93</f>
        <v>0.03882114881989956</v>
      </c>
      <c r="J60" s="1390">
        <f>H60/D60</f>
        <v>98.10904761904762</v>
      </c>
      <c r="K60" s="638"/>
      <c r="L60" s="639"/>
      <c r="M60" s="639"/>
      <c r="N60" s="639"/>
      <c r="O60" s="642"/>
      <c r="P60" s="642"/>
      <c r="Q60" s="642"/>
      <c r="R60" s="643">
        <v>588</v>
      </c>
      <c r="S60" s="644"/>
      <c r="T60" s="645"/>
      <c r="U60" s="645"/>
      <c r="V60" s="642"/>
      <c r="W60" s="638"/>
      <c r="X60" s="644"/>
      <c r="Y60" s="646"/>
      <c r="Z60" s="645"/>
      <c r="AA60" s="639"/>
      <c r="AB60" s="639"/>
      <c r="AC60" s="642"/>
      <c r="AD60" s="644"/>
    </row>
    <row r="61" spans="2:30" s="1" customFormat="1" ht="13.5" thickBot="1">
      <c r="B61" s="1444"/>
      <c r="C61" s="1445"/>
      <c r="D61" s="1442"/>
      <c r="E61" s="1443"/>
      <c r="F61" s="1416"/>
      <c r="G61" s="1419"/>
      <c r="H61" s="1468"/>
      <c r="I61" s="1388"/>
      <c r="J61" s="1391"/>
      <c r="K61" s="647"/>
      <c r="L61" s="648"/>
      <c r="M61" s="648"/>
      <c r="N61" s="648">
        <v>751</v>
      </c>
      <c r="O61" s="651"/>
      <c r="P61" s="651"/>
      <c r="Q61" s="651"/>
      <c r="R61" s="652"/>
      <c r="S61" s="653"/>
      <c r="T61" s="654"/>
      <c r="U61" s="654"/>
      <c r="V61" s="651"/>
      <c r="W61" s="647"/>
      <c r="X61" s="653"/>
      <c r="Y61" s="655"/>
      <c r="Z61" s="654"/>
      <c r="AA61" s="648"/>
      <c r="AB61" s="648"/>
      <c r="AC61" s="651"/>
      <c r="AD61" s="653"/>
    </row>
    <row r="62" spans="1:30" s="6" customFormat="1" ht="13.5" thickBot="1">
      <c r="A62" s="1"/>
      <c r="B62" s="1444"/>
      <c r="C62" s="1445"/>
      <c r="D62" s="1442"/>
      <c r="E62" s="1443"/>
      <c r="F62" s="1417"/>
      <c r="G62" s="1420"/>
      <c r="H62" s="1469"/>
      <c r="I62" s="1389"/>
      <c r="J62" s="1392"/>
      <c r="K62" s="656">
        <v>7</v>
      </c>
      <c r="L62" s="657"/>
      <c r="M62" s="665"/>
      <c r="N62" s="665"/>
      <c r="O62" s="660"/>
      <c r="P62" s="660"/>
      <c r="Q62" s="660"/>
      <c r="R62" s="661"/>
      <c r="S62" s="662"/>
      <c r="T62" s="663"/>
      <c r="U62" s="663"/>
      <c r="V62" s="660">
        <v>1561</v>
      </c>
      <c r="W62" s="656"/>
      <c r="X62" s="662"/>
      <c r="Y62" s="664"/>
      <c r="Z62" s="663"/>
      <c r="AA62" s="665"/>
      <c r="AB62" s="665"/>
      <c r="AC62" s="660"/>
      <c r="AD62" s="662"/>
    </row>
    <row r="63" spans="2:30" s="1" customFormat="1" ht="13.5" thickBot="1">
      <c r="B63" s="1440" t="s">
        <v>155</v>
      </c>
      <c r="C63" s="1441"/>
      <c r="D63" s="1442">
        <v>37</v>
      </c>
      <c r="E63" s="1443">
        <f>D63/$D$93</f>
        <v>0.043942992874109264</v>
      </c>
      <c r="F63" s="1415">
        <f>COUNTA(K63:AD67)</f>
        <v>10</v>
      </c>
      <c r="G63" s="1418">
        <f>F63/D63</f>
        <v>0.2702702702702703</v>
      </c>
      <c r="H63" s="1467">
        <f>$K$5*COUNTA(K63:K67)+$L$5*COUNTA(L63:L67)+$M$5*COUNTA(M63:M67)+$N$5*COUNTA(N63:N67)+$P$5*COUNTA(P63:P67)+$Q$5*COUNTA(Q63:Q67)+$R$5*COUNTA(R63:R67)+$S$5*COUNTA(S63:S67)+$T$5*COUNTA(T63:T67)+$U$5*COUNTA(U63:U67)+$V$5*COUNTA(V63:V67)+$W$5*COUNTA(W63:W67)+$X$5*COUNTA(X63:X67)+$Y$5*COUNTA(Y63:Y67)+$Z$5*COUNTA(Z63:Z67)+$AA$5*COUNTA(AA63:AA67)+$AB$5*COUNTA(AB63:AB67)+$AC$5*COUNTA(AC63:AC67)+$AD$5*COUNTA(AD63:AD67)</f>
        <v>3248.7000000000003</v>
      </c>
      <c r="I63" s="1387">
        <f>H63/H93</f>
        <v>0.061213841823824666</v>
      </c>
      <c r="J63" s="1390">
        <f>H63/D63</f>
        <v>87.8027027027027</v>
      </c>
      <c r="K63" s="638">
        <v>94</v>
      </c>
      <c r="L63" s="639"/>
      <c r="M63" s="639"/>
      <c r="N63" s="648">
        <v>179</v>
      </c>
      <c r="O63" s="694"/>
      <c r="P63" s="642"/>
      <c r="Q63" s="642"/>
      <c r="R63" s="643"/>
      <c r="S63" s="644"/>
      <c r="T63" s="645"/>
      <c r="U63" s="645"/>
      <c r="V63" s="642"/>
      <c r="W63" s="638"/>
      <c r="X63" s="644"/>
      <c r="Y63" s="646"/>
      <c r="Z63" s="645"/>
      <c r="AA63" s="639"/>
      <c r="AB63" s="639"/>
      <c r="AC63" s="642"/>
      <c r="AD63" s="644"/>
    </row>
    <row r="64" spans="2:30" s="1" customFormat="1" ht="13.5" thickBot="1">
      <c r="B64" s="1440"/>
      <c r="C64" s="1441"/>
      <c r="D64" s="1442"/>
      <c r="E64" s="1443"/>
      <c r="F64" s="1416"/>
      <c r="G64" s="1419"/>
      <c r="H64" s="1468"/>
      <c r="I64" s="1388"/>
      <c r="J64" s="1391"/>
      <c r="K64" s="647">
        <v>262</v>
      </c>
      <c r="L64" s="648">
        <v>88</v>
      </c>
      <c r="M64" s="648"/>
      <c r="N64" s="648">
        <v>706</v>
      </c>
      <c r="O64" s="651"/>
      <c r="P64" s="651"/>
      <c r="Q64" s="651"/>
      <c r="R64" s="652"/>
      <c r="S64" s="653"/>
      <c r="T64" s="654"/>
      <c r="U64" s="654"/>
      <c r="V64" s="651"/>
      <c r="W64" s="647"/>
      <c r="X64" s="653"/>
      <c r="Y64" s="655"/>
      <c r="Z64" s="654"/>
      <c r="AA64" s="648"/>
      <c r="AB64" s="648">
        <v>133</v>
      </c>
      <c r="AC64" s="651"/>
      <c r="AD64" s="653"/>
    </row>
    <row r="65" spans="2:30" s="1" customFormat="1" ht="13.5" thickBot="1">
      <c r="B65" s="1440"/>
      <c r="C65" s="1441"/>
      <c r="D65" s="1442"/>
      <c r="E65" s="1443"/>
      <c r="F65" s="1416"/>
      <c r="G65" s="1419"/>
      <c r="H65" s="1468"/>
      <c r="I65" s="1388"/>
      <c r="J65" s="1391"/>
      <c r="K65" s="647"/>
      <c r="L65" s="648"/>
      <c r="M65" s="648"/>
      <c r="N65" s="648">
        <v>1573</v>
      </c>
      <c r="O65" s="651"/>
      <c r="P65" s="651"/>
      <c r="Q65" s="651"/>
      <c r="R65" s="652"/>
      <c r="S65" s="653"/>
      <c r="T65" s="654"/>
      <c r="U65" s="654"/>
      <c r="V65" s="651"/>
      <c r="W65" s="647"/>
      <c r="X65" s="653"/>
      <c r="Y65" s="655"/>
      <c r="Z65" s="654"/>
      <c r="AA65" s="648"/>
      <c r="AB65" s="648"/>
      <c r="AC65" s="651"/>
      <c r="AD65" s="653"/>
    </row>
    <row r="66" spans="2:30" s="1" customFormat="1" ht="13.5" thickBot="1">
      <c r="B66" s="1440"/>
      <c r="C66" s="1441"/>
      <c r="D66" s="1442"/>
      <c r="E66" s="1443"/>
      <c r="F66" s="1416"/>
      <c r="G66" s="1419"/>
      <c r="H66" s="1468"/>
      <c r="I66" s="1388"/>
      <c r="J66" s="1391"/>
      <c r="K66" s="647"/>
      <c r="L66" s="648"/>
      <c r="M66" s="648"/>
      <c r="N66" s="648">
        <v>1545</v>
      </c>
      <c r="O66" s="651"/>
      <c r="P66" s="651"/>
      <c r="Q66" s="651"/>
      <c r="R66" s="652"/>
      <c r="S66" s="653"/>
      <c r="T66" s="654"/>
      <c r="U66" s="654">
        <v>700</v>
      </c>
      <c r="V66" s="651"/>
      <c r="W66" s="647"/>
      <c r="X66" s="653"/>
      <c r="Y66" s="655"/>
      <c r="Z66" s="654"/>
      <c r="AA66" s="648"/>
      <c r="AB66" s="648">
        <v>698</v>
      </c>
      <c r="AC66" s="651"/>
      <c r="AD66" s="653"/>
    </row>
    <row r="67" spans="2:30" s="1" customFormat="1" ht="13.5" thickBot="1">
      <c r="B67" s="1440"/>
      <c r="C67" s="1441"/>
      <c r="D67" s="1442"/>
      <c r="E67" s="1443"/>
      <c r="F67" s="1417"/>
      <c r="G67" s="1420"/>
      <c r="H67" s="1469"/>
      <c r="I67" s="1389"/>
      <c r="J67" s="1392"/>
      <c r="K67" s="656"/>
      <c r="L67" s="657"/>
      <c r="M67" s="665"/>
      <c r="N67" s="518"/>
      <c r="O67" s="519"/>
      <c r="P67" s="660"/>
      <c r="Q67" s="660"/>
      <c r="R67" s="661"/>
      <c r="S67" s="662"/>
      <c r="T67" s="663"/>
      <c r="U67" s="663"/>
      <c r="V67" s="660"/>
      <c r="W67" s="656"/>
      <c r="X67" s="662"/>
      <c r="Y67" s="664"/>
      <c r="Z67" s="663"/>
      <c r="AA67" s="665"/>
      <c r="AB67" s="665"/>
      <c r="AC67" s="660"/>
      <c r="AD67" s="662"/>
    </row>
    <row r="68" spans="2:31" s="1" customFormat="1" ht="13.5" thickBot="1">
      <c r="B68" s="1440" t="s">
        <v>156</v>
      </c>
      <c r="C68" s="1441"/>
      <c r="D68" s="1442">
        <v>28</v>
      </c>
      <c r="E68" s="1443">
        <f>D68/$D$93</f>
        <v>0.0332541567695962</v>
      </c>
      <c r="F68" s="1415">
        <f>COUNTA(K68:AD70)</f>
        <v>6</v>
      </c>
      <c r="G68" s="1418">
        <f>F68/D68</f>
        <v>0.21428571428571427</v>
      </c>
      <c r="H68" s="1467">
        <f>$K$5*COUNTA(K68:K70)+$L$5*COUNTA(L68:L70)+$M$5*COUNTA(M68:M70)+$N$5*COUNTA(N68:N70)+$P$5*COUNTA(P68:P70)+$Q$5*COUNTA(Q68:Q70)+$R$5*COUNTA(R68:R70)+$S$5*COUNTA(S68:S70)+$T$5*COUNTA(T68:T70)+$U$5*COUNTA(U68:U70)+$V$5*COUNTA(V68:V70)+$W$5*COUNTA(W68:W70)+$X$5*COUNTA(X68:X70)+$Y$5*COUNTA(Y68:Y70)+$Z$5*COUNTA(Z68:Z70)+$AA$5*COUNTA(AA68:AA70)+$AB$5*COUNTA(AB68:AB70)+$AC$5*COUNTA(AC68:AC70)+$AD$5*COUNTA(AD68:AD70)</f>
        <v>1336.8799999999999</v>
      </c>
      <c r="I68" s="1387">
        <f>H68/H93</f>
        <v>0.025190248670986765</v>
      </c>
      <c r="J68" s="1390">
        <f>H68/D68</f>
        <v>47.74571428571428</v>
      </c>
      <c r="K68" s="638"/>
      <c r="L68" s="639">
        <v>1551</v>
      </c>
      <c r="M68" s="639"/>
      <c r="N68" s="639"/>
      <c r="O68" s="642"/>
      <c r="P68" s="642"/>
      <c r="Q68" s="642">
        <v>957</v>
      </c>
      <c r="R68" s="643"/>
      <c r="S68" s="644"/>
      <c r="T68" s="645"/>
      <c r="U68" s="645"/>
      <c r="V68" s="642"/>
      <c r="W68" s="638"/>
      <c r="X68" s="644"/>
      <c r="Y68" s="646">
        <v>345</v>
      </c>
      <c r="Z68" s="645"/>
      <c r="AA68" s="639"/>
      <c r="AB68" s="639"/>
      <c r="AC68" s="642"/>
      <c r="AD68" s="644"/>
      <c r="AE68" s="393"/>
    </row>
    <row r="69" spans="2:31" s="1" customFormat="1" ht="13.5" thickBot="1">
      <c r="B69" s="1440"/>
      <c r="C69" s="1441"/>
      <c r="D69" s="1442"/>
      <c r="E69" s="1443"/>
      <c r="F69" s="1416"/>
      <c r="G69" s="1419"/>
      <c r="H69" s="1468"/>
      <c r="I69" s="1388"/>
      <c r="J69" s="1391"/>
      <c r="K69" s="647"/>
      <c r="L69" s="648"/>
      <c r="M69" s="648"/>
      <c r="N69" s="648"/>
      <c r="O69" s="651"/>
      <c r="P69" s="651"/>
      <c r="Q69" s="651">
        <v>30</v>
      </c>
      <c r="R69" s="652"/>
      <c r="S69" s="653"/>
      <c r="T69" s="654"/>
      <c r="U69" s="654"/>
      <c r="V69" s="651"/>
      <c r="W69" s="647"/>
      <c r="X69" s="653"/>
      <c r="Y69" s="655">
        <v>835</v>
      </c>
      <c r="Z69" s="654"/>
      <c r="AA69" s="648">
        <v>961</v>
      </c>
      <c r="AB69" s="648"/>
      <c r="AC69" s="651"/>
      <c r="AD69" s="653"/>
      <c r="AE69" s="393"/>
    </row>
    <row r="70" spans="2:31" s="1" customFormat="1" ht="15" thickBot="1">
      <c r="B70" s="1440"/>
      <c r="C70" s="1441"/>
      <c r="D70" s="1442"/>
      <c r="E70" s="1443"/>
      <c r="F70" s="1416"/>
      <c r="G70" s="1419"/>
      <c r="H70" s="1468"/>
      <c r="I70" s="1388"/>
      <c r="J70" s="1391"/>
      <c r="K70" s="656"/>
      <c r="L70" s="665"/>
      <c r="M70" s="665"/>
      <c r="N70" s="665"/>
      <c r="O70" s="660"/>
      <c r="P70" s="660"/>
      <c r="Q70" s="660"/>
      <c r="R70" s="661"/>
      <c r="S70" s="662"/>
      <c r="T70" s="663"/>
      <c r="U70" s="663"/>
      <c r="V70" s="660"/>
      <c r="W70" s="656"/>
      <c r="X70" s="662"/>
      <c r="Y70" s="664"/>
      <c r="Z70" s="663"/>
      <c r="AA70" s="665"/>
      <c r="AB70" s="665"/>
      <c r="AC70" s="660"/>
      <c r="AD70" s="662"/>
      <c r="AE70" s="393"/>
    </row>
    <row r="71" spans="2:30" s="1" customFormat="1" ht="13.5">
      <c r="B71" s="1424" t="s">
        <v>157</v>
      </c>
      <c r="C71" s="1435"/>
      <c r="D71" s="1438">
        <v>38</v>
      </c>
      <c r="E71" s="1418">
        <f>D71/$D$93</f>
        <v>0.04513064133016627</v>
      </c>
      <c r="F71" s="1415">
        <f>COUNTA(K71:AD73)</f>
        <v>5</v>
      </c>
      <c r="G71" s="1418">
        <f>F71/D71</f>
        <v>0.13157894736842105</v>
      </c>
      <c r="H71" s="1467">
        <f>$K$5*COUNTA(K71:K73)+$L$5*COUNTA(L71:L73)+$M$5*COUNTA(M71:M73)+$N$5*COUNTA(N71:N73)+$P$5*COUNTA(P71:P73)+$Q$5*COUNTA(Q71:Q73)+$R$5*COUNTA(R71:R73)+$S$5*COUNTA(S71:S73)+$T$5*COUNTA(T71:T73)+$U$5*COUNTA(U71:U73)+$V$5*COUNTA(V71:V73)+$W$5*COUNTA(W71:W73)+$X$5*COUNTA(X71:X73)+$Y$5*COUNTA(Y71:Y73)+$Z$5*COUNTA(Z71:Z73)+$AA$5*COUNTA(AA71:AA73)+$AB$5*COUNTA(AB71:AB73)+$AC$5*COUNTA(AC71:AC73)+$AD$5*COUNTA(AD71:AD73)</f>
        <v>2252.77</v>
      </c>
      <c r="I71" s="1387">
        <f>H71/H93</f>
        <v>0.04244796578491627</v>
      </c>
      <c r="J71" s="1390">
        <f>H71/D71</f>
        <v>59.28342105263158</v>
      </c>
      <c r="K71" s="638">
        <v>1585</v>
      </c>
      <c r="L71" s="639"/>
      <c r="M71" s="639"/>
      <c r="N71" s="639"/>
      <c r="O71" s="642"/>
      <c r="P71" s="642"/>
      <c r="Q71" s="642"/>
      <c r="R71" s="643">
        <v>27</v>
      </c>
      <c r="S71" s="644"/>
      <c r="T71" s="645"/>
      <c r="U71" s="645"/>
      <c r="V71" s="642"/>
      <c r="W71" s="638"/>
      <c r="X71" s="644"/>
      <c r="Y71" s="646"/>
      <c r="Z71" s="645"/>
      <c r="AA71" s="639"/>
      <c r="AB71" s="639"/>
      <c r="AC71" s="642"/>
      <c r="AD71" s="644"/>
    </row>
    <row r="72" spans="2:30" s="1" customFormat="1" ht="13.5">
      <c r="B72" s="1432"/>
      <c r="C72" s="1433"/>
      <c r="D72" s="1434"/>
      <c r="E72" s="1419"/>
      <c r="F72" s="1416"/>
      <c r="G72" s="1419"/>
      <c r="H72" s="1468"/>
      <c r="I72" s="1388"/>
      <c r="J72" s="1391"/>
      <c r="K72" s="647">
        <v>382</v>
      </c>
      <c r="L72" s="648"/>
      <c r="M72" s="648"/>
      <c r="N72" s="648"/>
      <c r="O72" s="651"/>
      <c r="P72" s="651"/>
      <c r="Q72" s="651"/>
      <c r="R72" s="652"/>
      <c r="S72" s="653"/>
      <c r="T72" s="654"/>
      <c r="U72" s="654"/>
      <c r="V72" s="651">
        <v>263</v>
      </c>
      <c r="W72" s="647"/>
      <c r="X72" s="653"/>
      <c r="Y72" s="655"/>
      <c r="Z72" s="654"/>
      <c r="AA72" s="648"/>
      <c r="AB72" s="648"/>
      <c r="AC72" s="651"/>
      <c r="AD72" s="653"/>
    </row>
    <row r="73" spans="2:30" s="1" customFormat="1" ht="15" thickBot="1">
      <c r="B73" s="1436"/>
      <c r="C73" s="1437"/>
      <c r="D73" s="1439"/>
      <c r="E73" s="1420"/>
      <c r="F73" s="1417"/>
      <c r="G73" s="1420"/>
      <c r="H73" s="1469"/>
      <c r="I73" s="1389"/>
      <c r="J73" s="1392"/>
      <c r="K73" s="656"/>
      <c r="L73" s="665"/>
      <c r="M73" s="665"/>
      <c r="N73" s="665"/>
      <c r="O73" s="660"/>
      <c r="P73" s="660"/>
      <c r="Q73" s="660"/>
      <c r="R73" s="661"/>
      <c r="S73" s="662"/>
      <c r="T73" s="663"/>
      <c r="U73" s="663"/>
      <c r="V73" s="660"/>
      <c r="W73" s="656">
        <v>283</v>
      </c>
      <c r="X73" s="662"/>
      <c r="Y73" s="664"/>
      <c r="Z73" s="663"/>
      <c r="AA73" s="665"/>
      <c r="AB73" s="665"/>
      <c r="AC73" s="660"/>
      <c r="AD73" s="662"/>
    </row>
    <row r="74" spans="2:30" s="1" customFormat="1" ht="13.5">
      <c r="B74" s="1432" t="s">
        <v>158</v>
      </c>
      <c r="C74" s="1433"/>
      <c r="D74" s="1434">
        <v>55</v>
      </c>
      <c r="E74" s="1419">
        <f>D74/$D$93</f>
        <v>0.06532066508313539</v>
      </c>
      <c r="F74" s="1415">
        <f>COUNTA(K74:AD78)</f>
        <v>11</v>
      </c>
      <c r="G74" s="1418">
        <f>F74/D74</f>
        <v>0.2</v>
      </c>
      <c r="H74" s="1467">
        <f>$K$5*COUNTA(K74:K78)+$L$5*COUNTA(L74:L78)+$M$5*COUNTA(M74:M78)+$N$5*COUNTA(N74:N78)+$P$5*COUNTA(P74:P78)+$Q$5*COUNTA(Q74:Q78)+$R$5*COUNTA(R74:R78)+$S$5*COUNTA(S74:S78)+$T$5*COUNTA(T74:T78)+$U$5*COUNTA(U74:U78)+$V$5*COUNTA(V74:V78)+$W$5*COUNTA(W74:W78)+$X$5*COUNTA(X74:X78)+$Y$5*COUNTA(Y74:Y78)+$Z$5*COUNTA(Z74:Z78)+$AA$5*COUNTA(AA74:AA78)+$AB$5*COUNTA(AB74:AB78)+$AC$5*COUNTA(AC74:AC78)+$AD$5*COUNTA(AD74:AD78)</f>
        <v>4988.28</v>
      </c>
      <c r="I74" s="1387">
        <f>H74/H93</f>
        <v>0.09399199153290487</v>
      </c>
      <c r="J74" s="1390">
        <f>H74/D74</f>
        <v>90.696</v>
      </c>
      <c r="K74" s="638">
        <v>964</v>
      </c>
      <c r="L74" s="639"/>
      <c r="M74" s="639"/>
      <c r="N74" s="639"/>
      <c r="O74" s="642"/>
      <c r="P74" s="642"/>
      <c r="Q74" s="642"/>
      <c r="R74" s="643"/>
      <c r="S74" s="644"/>
      <c r="T74" s="645"/>
      <c r="U74" s="645"/>
      <c r="V74" s="642"/>
      <c r="W74" s="638"/>
      <c r="X74" s="644"/>
      <c r="Y74" s="646"/>
      <c r="Z74" s="645"/>
      <c r="AA74" s="639"/>
      <c r="AB74" s="639"/>
      <c r="AC74" s="642"/>
      <c r="AD74" s="644"/>
    </row>
    <row r="75" spans="2:30" s="1" customFormat="1" ht="13.5">
      <c r="B75" s="1432"/>
      <c r="C75" s="1433"/>
      <c r="D75" s="1434"/>
      <c r="E75" s="1419"/>
      <c r="F75" s="1416"/>
      <c r="G75" s="1419"/>
      <c r="H75" s="1468"/>
      <c r="I75" s="1388"/>
      <c r="J75" s="1391"/>
      <c r="K75" s="647"/>
      <c r="L75" s="648"/>
      <c r="M75" s="648"/>
      <c r="N75" s="648"/>
      <c r="O75" s="651"/>
      <c r="P75" s="651"/>
      <c r="Q75" s="651"/>
      <c r="R75" s="652"/>
      <c r="S75" s="653">
        <v>431</v>
      </c>
      <c r="T75" s="654"/>
      <c r="U75" s="654"/>
      <c r="V75" s="651">
        <v>892</v>
      </c>
      <c r="W75" s="647"/>
      <c r="X75" s="653"/>
      <c r="Y75" s="655"/>
      <c r="Z75" s="654"/>
      <c r="AA75" s="648"/>
      <c r="AB75" s="648"/>
      <c r="AC75" s="651"/>
      <c r="AD75" s="653"/>
    </row>
    <row r="76" spans="2:30" s="1" customFormat="1" ht="13.5">
      <c r="B76" s="1432"/>
      <c r="C76" s="1433"/>
      <c r="D76" s="1434"/>
      <c r="E76" s="1419"/>
      <c r="F76" s="1416"/>
      <c r="G76" s="1419"/>
      <c r="H76" s="1468"/>
      <c r="I76" s="1388"/>
      <c r="J76" s="1391"/>
      <c r="K76" s="647"/>
      <c r="L76" s="648">
        <v>953</v>
      </c>
      <c r="M76" s="648"/>
      <c r="N76" s="648"/>
      <c r="O76" s="651"/>
      <c r="P76" s="651"/>
      <c r="Q76" s="651"/>
      <c r="R76" s="652"/>
      <c r="S76" s="653">
        <v>657</v>
      </c>
      <c r="T76" s="654"/>
      <c r="U76" s="654"/>
      <c r="V76" s="651">
        <v>168</v>
      </c>
      <c r="W76" s="647"/>
      <c r="X76" s="653"/>
      <c r="Y76" s="655"/>
      <c r="Z76" s="654"/>
      <c r="AA76" s="648"/>
      <c r="AB76" s="648"/>
      <c r="AC76" s="651"/>
      <c r="AD76" s="653"/>
    </row>
    <row r="77" spans="2:30" s="1" customFormat="1" ht="13.5">
      <c r="B77" s="1432"/>
      <c r="C77" s="1433"/>
      <c r="D77" s="1434"/>
      <c r="E77" s="1419"/>
      <c r="F77" s="1416"/>
      <c r="G77" s="1419"/>
      <c r="H77" s="1468"/>
      <c r="I77" s="1388"/>
      <c r="J77" s="1391"/>
      <c r="K77" s="647">
        <v>959</v>
      </c>
      <c r="L77" s="648"/>
      <c r="M77" s="648"/>
      <c r="N77" s="648">
        <v>557</v>
      </c>
      <c r="O77" s="651"/>
      <c r="P77" s="651"/>
      <c r="Q77" s="651"/>
      <c r="R77" s="652"/>
      <c r="S77" s="653">
        <v>165</v>
      </c>
      <c r="T77" s="654"/>
      <c r="U77" s="654"/>
      <c r="V77" s="651">
        <v>566</v>
      </c>
      <c r="W77" s="647"/>
      <c r="X77" s="653"/>
      <c r="Y77" s="655"/>
      <c r="Z77" s="654"/>
      <c r="AA77" s="648">
        <v>578</v>
      </c>
      <c r="AB77" s="648"/>
      <c r="AC77" s="651"/>
      <c r="AD77" s="653"/>
    </row>
    <row r="78" spans="2:30" s="1" customFormat="1" ht="15" thickBot="1">
      <c r="B78" s="1432"/>
      <c r="C78" s="1433"/>
      <c r="D78" s="1434"/>
      <c r="E78" s="1419"/>
      <c r="F78" s="1416"/>
      <c r="G78" s="1419"/>
      <c r="H78" s="1469"/>
      <c r="I78" s="1388"/>
      <c r="J78" s="1391"/>
      <c r="K78" s="656"/>
      <c r="L78" s="665"/>
      <c r="M78" s="665"/>
      <c r="N78" s="665"/>
      <c r="O78" s="660"/>
      <c r="P78" s="660"/>
      <c r="Q78" s="660"/>
      <c r="R78" s="661"/>
      <c r="S78" s="662"/>
      <c r="T78" s="663"/>
      <c r="U78" s="663"/>
      <c r="V78" s="660"/>
      <c r="W78" s="656"/>
      <c r="X78" s="662"/>
      <c r="Y78" s="664"/>
      <c r="Z78" s="663"/>
      <c r="AA78" s="665"/>
      <c r="AB78" s="665"/>
      <c r="AC78" s="660"/>
      <c r="AD78" s="662"/>
    </row>
    <row r="79" spans="1:31" ht="12.75" customHeight="1">
      <c r="A79" s="5"/>
      <c r="B79" s="1424" t="s">
        <v>159</v>
      </c>
      <c r="C79" s="1538"/>
      <c r="D79" s="1415">
        <v>80</v>
      </c>
      <c r="E79" s="1418">
        <f>D79/$D$93</f>
        <v>0.09501187648456057</v>
      </c>
      <c r="F79" s="1415">
        <f>COUNTA(K79:AD85)</f>
        <v>16</v>
      </c>
      <c r="G79" s="1418">
        <f>F79/D79</f>
        <v>0.2</v>
      </c>
      <c r="H79" s="1467">
        <f>$K$5*COUNTA(K79:K85)+$L$5*COUNTA(L79:L85)+$M$5*COUNTA(M79:M85)+$N$5*COUNTA(N79:N85)+$P$5*COUNTA(P79:P85)+$Q$5*COUNTA(Q79:Q85)+$R$5*COUNTA(R79:R85)+$S$5*COUNTA(S79:S85)+$T$5*COUNTA(T79:T85)+$U$5*COUNTA(U79:U85)+$V$5*COUNTA(V79:V85)+$W$5*COUNTA(W79:W85)+$X$5*COUNTA(X79:X85)+$Y$5*COUNTA(Y79:Y85)+$Z$5*COUNTA(Z79:Z85)+$AA$5*COUNTA(AA79:AA85)+$AB$5*COUNTA(AB79:AB85)+$AC$5*COUNTA(AC79:AC85)+$AD$5*COUNTA(AD79:AD85)</f>
        <v>5263.8</v>
      </c>
      <c r="I79" s="1387">
        <f>H79/H93</f>
        <v>0.09918349511873926</v>
      </c>
      <c r="J79" s="1390">
        <f>H79/D79</f>
        <v>65.7975</v>
      </c>
      <c r="K79" s="638"/>
      <c r="L79" s="639"/>
      <c r="M79" s="639"/>
      <c r="N79" s="639"/>
      <c r="O79" s="642"/>
      <c r="P79" s="642"/>
      <c r="Q79" s="642"/>
      <c r="R79" s="643"/>
      <c r="S79" s="644"/>
      <c r="T79" s="645"/>
      <c r="U79" s="645"/>
      <c r="V79" s="642"/>
      <c r="W79" s="638"/>
      <c r="X79" s="644">
        <v>89</v>
      </c>
      <c r="Y79" s="646"/>
      <c r="Z79" s="645"/>
      <c r="AA79" s="639"/>
      <c r="AB79" s="639"/>
      <c r="AC79" s="642"/>
      <c r="AD79" s="644"/>
      <c r="AE79" s="241"/>
    </row>
    <row r="80" spans="1:31" ht="13.5">
      <c r="A80" s="5"/>
      <c r="B80" s="1539"/>
      <c r="C80" s="1540"/>
      <c r="D80" s="1430"/>
      <c r="E80" s="1419"/>
      <c r="F80" s="1416"/>
      <c r="G80" s="1419"/>
      <c r="H80" s="1468"/>
      <c r="I80" s="1388"/>
      <c r="J80" s="1391"/>
      <c r="K80" s="647">
        <v>324</v>
      </c>
      <c r="L80" s="648"/>
      <c r="M80" s="648"/>
      <c r="N80" s="648"/>
      <c r="O80" s="651"/>
      <c r="P80" s="651"/>
      <c r="Q80" s="651"/>
      <c r="R80" s="652"/>
      <c r="S80" s="653"/>
      <c r="T80" s="654"/>
      <c r="U80" s="654"/>
      <c r="V80" s="651">
        <v>172</v>
      </c>
      <c r="W80" s="647"/>
      <c r="X80" s="653"/>
      <c r="Y80" s="655"/>
      <c r="Z80" s="654"/>
      <c r="AA80" s="648"/>
      <c r="AB80" s="648"/>
      <c r="AC80" s="651"/>
      <c r="AD80" s="653"/>
      <c r="AE80" s="241"/>
    </row>
    <row r="81" spans="1:31" ht="13.5">
      <c r="A81" s="5"/>
      <c r="B81" s="1539"/>
      <c r="C81" s="1540"/>
      <c r="D81" s="1430"/>
      <c r="E81" s="1419"/>
      <c r="F81" s="1416"/>
      <c r="G81" s="1419"/>
      <c r="H81" s="1468"/>
      <c r="I81" s="1388"/>
      <c r="J81" s="1391"/>
      <c r="K81" s="647"/>
      <c r="L81" s="648"/>
      <c r="M81" s="648"/>
      <c r="N81" s="648">
        <v>544</v>
      </c>
      <c r="O81" s="651"/>
      <c r="P81" s="651"/>
      <c r="Q81" s="651"/>
      <c r="R81" s="652"/>
      <c r="S81" s="653"/>
      <c r="T81" s="654"/>
      <c r="U81" s="654"/>
      <c r="V81" s="651">
        <v>981</v>
      </c>
      <c r="W81" s="647"/>
      <c r="X81" s="653"/>
      <c r="Y81" s="655"/>
      <c r="Z81" s="654"/>
      <c r="AA81" s="648">
        <v>43</v>
      </c>
      <c r="AB81" s="648"/>
      <c r="AC81" s="651"/>
      <c r="AD81" s="653"/>
      <c r="AE81" s="241"/>
    </row>
    <row r="82" spans="1:31" ht="13.5">
      <c r="A82" s="5"/>
      <c r="B82" s="1539"/>
      <c r="C82" s="1540"/>
      <c r="D82" s="1430"/>
      <c r="E82" s="1419"/>
      <c r="F82" s="1416"/>
      <c r="G82" s="1419"/>
      <c r="H82" s="1468"/>
      <c r="I82" s="1388"/>
      <c r="J82" s="1391"/>
      <c r="K82" s="647"/>
      <c r="L82" s="648"/>
      <c r="M82" s="648"/>
      <c r="N82" s="648"/>
      <c r="O82" s="651"/>
      <c r="P82" s="651">
        <v>317</v>
      </c>
      <c r="Q82" s="651"/>
      <c r="R82" s="652"/>
      <c r="S82" s="653"/>
      <c r="T82" s="654"/>
      <c r="U82" s="654"/>
      <c r="V82" s="651">
        <v>427</v>
      </c>
      <c r="W82" s="647"/>
      <c r="X82" s="653"/>
      <c r="Y82" s="655"/>
      <c r="Z82" s="654"/>
      <c r="AA82" s="648"/>
      <c r="AB82" s="648"/>
      <c r="AC82" s="651"/>
      <c r="AD82" s="653"/>
      <c r="AE82" s="241"/>
    </row>
    <row r="83" spans="1:31" ht="13.5">
      <c r="A83" s="5"/>
      <c r="B83" s="1539"/>
      <c r="C83" s="1540"/>
      <c r="D83" s="1430"/>
      <c r="E83" s="1419"/>
      <c r="F83" s="1416"/>
      <c r="G83" s="1419"/>
      <c r="H83" s="1468"/>
      <c r="I83" s="1388"/>
      <c r="J83" s="1391"/>
      <c r="K83" s="647">
        <v>164</v>
      </c>
      <c r="L83" s="648"/>
      <c r="M83" s="648"/>
      <c r="N83" s="648"/>
      <c r="O83" s="651"/>
      <c r="P83" s="651">
        <v>1261</v>
      </c>
      <c r="Q83" s="651"/>
      <c r="R83" s="652"/>
      <c r="S83" s="653">
        <v>684</v>
      </c>
      <c r="T83" s="654"/>
      <c r="U83" s="654"/>
      <c r="V83" s="651"/>
      <c r="W83" s="647"/>
      <c r="X83" s="653"/>
      <c r="Y83" s="655"/>
      <c r="Z83" s="654"/>
      <c r="AA83" s="648">
        <v>375</v>
      </c>
      <c r="AB83" s="648"/>
      <c r="AC83" s="651">
        <v>9</v>
      </c>
      <c r="AD83" s="653"/>
      <c r="AE83" s="241"/>
    </row>
    <row r="84" spans="1:31" ht="13.5">
      <c r="A84" s="5"/>
      <c r="B84" s="1539"/>
      <c r="C84" s="1540"/>
      <c r="D84" s="1430"/>
      <c r="E84" s="1419"/>
      <c r="F84" s="1416"/>
      <c r="G84" s="1419"/>
      <c r="H84" s="1468"/>
      <c r="I84" s="1388"/>
      <c r="J84" s="1391"/>
      <c r="K84" s="647"/>
      <c r="L84" s="648"/>
      <c r="M84" s="648"/>
      <c r="N84" s="648"/>
      <c r="O84" s="651"/>
      <c r="P84" s="651"/>
      <c r="Q84" s="651"/>
      <c r="R84" s="652"/>
      <c r="S84" s="653"/>
      <c r="T84" s="654"/>
      <c r="U84" s="654"/>
      <c r="V84" s="651">
        <v>514</v>
      </c>
      <c r="W84" s="647"/>
      <c r="X84" s="653"/>
      <c r="Y84" s="655"/>
      <c r="Z84" s="654">
        <v>499</v>
      </c>
      <c r="AA84" s="648"/>
      <c r="AB84" s="648"/>
      <c r="AC84" s="651"/>
      <c r="AD84" s="653"/>
      <c r="AE84" s="241"/>
    </row>
    <row r="85" spans="1:31" ht="15" thickBot="1">
      <c r="A85" s="5"/>
      <c r="B85" s="1541"/>
      <c r="C85" s="1542"/>
      <c r="D85" s="1431"/>
      <c r="E85" s="1420"/>
      <c r="F85" s="1416"/>
      <c r="G85" s="1419"/>
      <c r="H85" s="1469"/>
      <c r="I85" s="1388"/>
      <c r="J85" s="1391"/>
      <c r="K85" s="656"/>
      <c r="L85" s="665"/>
      <c r="M85" s="665"/>
      <c r="N85" s="665">
        <v>52</v>
      </c>
      <c r="O85" s="660"/>
      <c r="P85" s="660"/>
      <c r="Q85" s="660"/>
      <c r="R85" s="661"/>
      <c r="S85" s="662"/>
      <c r="T85" s="663"/>
      <c r="U85" s="663"/>
      <c r="V85" s="660"/>
      <c r="W85" s="656"/>
      <c r="X85" s="662"/>
      <c r="Y85" s="664"/>
      <c r="Z85" s="663"/>
      <c r="AA85" s="665"/>
      <c r="AB85" s="665"/>
      <c r="AC85" s="660"/>
      <c r="AD85" s="662"/>
      <c r="AE85" s="241"/>
    </row>
    <row r="86" spans="1:30" s="6" customFormat="1" ht="13.5">
      <c r="A86" s="1"/>
      <c r="B86" s="1399" t="s">
        <v>160</v>
      </c>
      <c r="C86" s="1400"/>
      <c r="D86" s="1407">
        <v>85</v>
      </c>
      <c r="E86" s="1411">
        <f>D86/$D$93</f>
        <v>0.10095011876484561</v>
      </c>
      <c r="F86" s="1415">
        <f>COUNTA(K86:AD91)</f>
        <v>12</v>
      </c>
      <c r="G86" s="1418">
        <f>F86/D86</f>
        <v>0.1411764705882353</v>
      </c>
      <c r="H86" s="1467">
        <f>$K$5*COUNTA(K86:K91)+$L$5*COUNTA(L86:L91)+$M$5*COUNTA(M86:M91)+$N$5*COUNTA(N86:N91)+$P$5*COUNTA(P86:P91)+$Q$5*COUNTA(Q86:Q91)+$R$5*COUNTA(R86:R91)+$S$5*COUNTA(S86:S91)+$T$5*COUNTA(T86:T91)+$U$5*COUNTA(U86:U91)+$V$5*COUNTA(V86:V91)+$W$5*COUNTA(W86:W91)+$X$5*COUNTA(X86:X91)+$Y$5*COUNTA(Y86:Y91)+$Z$5*COUNTA(Z86:Z91)+$AA$5*COUNTA(AA86:AA91)+$AB$5*COUNTA(AB86:AB91)+$AC$5*COUNTA(AC86:AC91)+$AD$5*COUNTA(AD86:AD91)</f>
        <v>4611.650000000001</v>
      </c>
      <c r="I86" s="1387">
        <f>H86/H93</f>
        <v>0.08689531617165051</v>
      </c>
      <c r="J86" s="1390">
        <f>H86/D86</f>
        <v>54.25470588235295</v>
      </c>
      <c r="K86" s="638"/>
      <c r="L86" s="639"/>
      <c r="M86" s="639"/>
      <c r="N86" s="639"/>
      <c r="O86" s="642"/>
      <c r="P86" s="642"/>
      <c r="Q86" s="642">
        <v>780</v>
      </c>
      <c r="R86" s="643"/>
      <c r="S86" s="644"/>
      <c r="T86" s="645"/>
      <c r="U86" s="645"/>
      <c r="V86" s="642">
        <v>355</v>
      </c>
      <c r="W86" s="638"/>
      <c r="X86" s="644"/>
      <c r="Y86" s="682"/>
      <c r="Z86" s="638"/>
      <c r="AA86" s="639"/>
      <c r="AB86" s="639"/>
      <c r="AC86" s="642"/>
      <c r="AD86" s="644"/>
    </row>
    <row r="87" spans="1:30" s="6" customFormat="1" ht="13.5">
      <c r="A87" s="1"/>
      <c r="B87" s="1399"/>
      <c r="C87" s="1400"/>
      <c r="D87" s="1407"/>
      <c r="E87" s="1411"/>
      <c r="F87" s="1416"/>
      <c r="G87" s="1419"/>
      <c r="H87" s="1468"/>
      <c r="I87" s="1388"/>
      <c r="J87" s="1391"/>
      <c r="K87" s="647">
        <v>352</v>
      </c>
      <c r="L87" s="648"/>
      <c r="M87" s="648"/>
      <c r="N87" s="648"/>
      <c r="O87" s="651"/>
      <c r="P87" s="651"/>
      <c r="Q87" s="651"/>
      <c r="R87" s="652"/>
      <c r="S87" s="653"/>
      <c r="T87" s="654"/>
      <c r="U87" s="654"/>
      <c r="V87" s="651"/>
      <c r="W87" s="647"/>
      <c r="X87" s="653"/>
      <c r="Y87" s="684"/>
      <c r="Z87" s="647"/>
      <c r="AA87" s="648">
        <v>37</v>
      </c>
      <c r="AB87" s="648"/>
      <c r="AC87" s="651"/>
      <c r="AD87" s="653"/>
    </row>
    <row r="88" spans="1:30" s="6" customFormat="1" ht="13.5">
      <c r="A88" s="1"/>
      <c r="B88" s="1401"/>
      <c r="C88" s="1402"/>
      <c r="D88" s="1408"/>
      <c r="E88" s="1412"/>
      <c r="F88" s="1416"/>
      <c r="G88" s="1419"/>
      <c r="H88" s="1468"/>
      <c r="I88" s="1388"/>
      <c r="J88" s="1391"/>
      <c r="K88" s="647"/>
      <c r="L88" s="648"/>
      <c r="M88" s="648"/>
      <c r="N88" s="648"/>
      <c r="O88" s="651"/>
      <c r="P88" s="651"/>
      <c r="Q88" s="651"/>
      <c r="R88" s="652"/>
      <c r="S88" s="653"/>
      <c r="T88" s="654"/>
      <c r="U88" s="654"/>
      <c r="V88" s="651"/>
      <c r="W88" s="647"/>
      <c r="X88" s="653"/>
      <c r="Y88" s="684"/>
      <c r="Z88" s="647"/>
      <c r="AA88" s="648"/>
      <c r="AB88" s="648"/>
      <c r="AC88" s="651"/>
      <c r="AD88" s="653"/>
    </row>
    <row r="89" spans="1:30" s="6" customFormat="1" ht="13.5">
      <c r="A89" s="1"/>
      <c r="B89" s="1403"/>
      <c r="C89" s="1404"/>
      <c r="D89" s="1409"/>
      <c r="E89" s="1413"/>
      <c r="F89" s="1416"/>
      <c r="G89" s="1419"/>
      <c r="H89" s="1468"/>
      <c r="I89" s="1388"/>
      <c r="J89" s="1391"/>
      <c r="K89" s="647"/>
      <c r="L89" s="648"/>
      <c r="M89" s="648"/>
      <c r="N89" s="648">
        <v>767</v>
      </c>
      <c r="O89" s="651"/>
      <c r="P89" s="651"/>
      <c r="Q89" s="651"/>
      <c r="R89" s="652"/>
      <c r="S89" s="653">
        <v>978</v>
      </c>
      <c r="T89" s="654"/>
      <c r="U89" s="654"/>
      <c r="V89" s="651">
        <v>196</v>
      </c>
      <c r="W89" s="647"/>
      <c r="X89" s="653"/>
      <c r="Y89" s="684">
        <v>704</v>
      </c>
      <c r="Z89" s="647"/>
      <c r="AA89" s="648"/>
      <c r="AB89" s="648"/>
      <c r="AC89" s="651"/>
      <c r="AD89" s="653"/>
    </row>
    <row r="90" spans="1:30" s="6" customFormat="1" ht="13.5">
      <c r="A90" s="1"/>
      <c r="B90" s="1403"/>
      <c r="C90" s="1404"/>
      <c r="D90" s="1409"/>
      <c r="E90" s="1413"/>
      <c r="F90" s="1416"/>
      <c r="G90" s="1419"/>
      <c r="H90" s="1468"/>
      <c r="I90" s="1388"/>
      <c r="J90" s="1391"/>
      <c r="K90" s="647"/>
      <c r="L90" s="648"/>
      <c r="M90" s="648"/>
      <c r="N90" s="648"/>
      <c r="O90" s="651"/>
      <c r="P90" s="651"/>
      <c r="Q90" s="651"/>
      <c r="R90" s="652"/>
      <c r="S90" s="653">
        <v>1598</v>
      </c>
      <c r="T90" s="654"/>
      <c r="U90" s="654"/>
      <c r="V90" s="651"/>
      <c r="W90" s="647"/>
      <c r="X90" s="653">
        <v>170</v>
      </c>
      <c r="Y90" s="684"/>
      <c r="Z90" s="647"/>
      <c r="AA90" s="648"/>
      <c r="AB90" s="648"/>
      <c r="AC90" s="651"/>
      <c r="AD90" s="653"/>
    </row>
    <row r="91" spans="1:30" s="6" customFormat="1" ht="15" thickBot="1">
      <c r="A91" s="1"/>
      <c r="B91" s="1405"/>
      <c r="C91" s="1406"/>
      <c r="D91" s="1410"/>
      <c r="E91" s="1414"/>
      <c r="F91" s="1417"/>
      <c r="G91" s="1420"/>
      <c r="H91" s="1469"/>
      <c r="I91" s="1389"/>
      <c r="J91" s="1392"/>
      <c r="K91" s="656"/>
      <c r="L91" s="665"/>
      <c r="M91" s="665"/>
      <c r="N91" s="665">
        <v>1527</v>
      </c>
      <c r="O91" s="660"/>
      <c r="P91" s="660"/>
      <c r="Q91" s="660"/>
      <c r="R91" s="661"/>
      <c r="S91" s="662"/>
      <c r="T91" s="663"/>
      <c r="U91" s="663"/>
      <c r="V91" s="660"/>
      <c r="W91" s="656"/>
      <c r="X91" s="662"/>
      <c r="Y91" s="686"/>
      <c r="Z91" s="656"/>
      <c r="AA91" s="665">
        <v>154</v>
      </c>
      <c r="AB91" s="665"/>
      <c r="AC91" s="660"/>
      <c r="AD91" s="662"/>
    </row>
    <row r="92" spans="1:30" ht="25.5" customHeight="1" thickBot="1">
      <c r="A92" s="5"/>
      <c r="B92" s="1393" t="s">
        <v>45</v>
      </c>
      <c r="C92" s="1394"/>
      <c r="D92" s="555"/>
      <c r="E92" s="556"/>
      <c r="F92" s="555"/>
      <c r="G92" s="556"/>
      <c r="H92" s="557"/>
      <c r="I92" s="558"/>
      <c r="J92" s="558"/>
      <c r="K92" s="559">
        <f aca="true" t="shared" si="0" ref="K92:AD92">COUNTA(K6:K91)</f>
        <v>20</v>
      </c>
      <c r="L92" s="559">
        <f t="shared" si="0"/>
        <v>25</v>
      </c>
      <c r="M92" s="559">
        <f t="shared" si="0"/>
        <v>1</v>
      </c>
      <c r="N92" s="559">
        <f t="shared" si="0"/>
        <v>27</v>
      </c>
      <c r="O92" s="559">
        <f t="shared" si="0"/>
        <v>3</v>
      </c>
      <c r="P92" s="559">
        <f t="shared" si="0"/>
        <v>3</v>
      </c>
      <c r="Q92" s="628">
        <f t="shared" si="0"/>
        <v>8</v>
      </c>
      <c r="R92" s="629">
        <f t="shared" si="0"/>
        <v>2</v>
      </c>
      <c r="S92" s="630">
        <f t="shared" si="0"/>
        <v>7</v>
      </c>
      <c r="T92" s="559">
        <f t="shared" si="0"/>
        <v>6</v>
      </c>
      <c r="U92" s="559">
        <f t="shared" si="0"/>
        <v>3</v>
      </c>
      <c r="V92" s="628">
        <f t="shared" si="0"/>
        <v>19</v>
      </c>
      <c r="W92" s="629">
        <f t="shared" si="0"/>
        <v>4</v>
      </c>
      <c r="X92" s="628">
        <f t="shared" si="0"/>
        <v>3</v>
      </c>
      <c r="Y92" s="631">
        <f t="shared" si="0"/>
        <v>17</v>
      </c>
      <c r="Z92" s="559">
        <f t="shared" si="0"/>
        <v>6</v>
      </c>
      <c r="AA92" s="559">
        <f t="shared" si="0"/>
        <v>9</v>
      </c>
      <c r="AB92" s="559">
        <f t="shared" si="0"/>
        <v>6</v>
      </c>
      <c r="AC92" s="559">
        <f t="shared" si="0"/>
        <v>2</v>
      </c>
      <c r="AD92" s="695">
        <f t="shared" si="0"/>
        <v>3</v>
      </c>
    </row>
    <row r="93" spans="1:30" ht="26.25" customHeight="1" thickBot="1" thickTop="1">
      <c r="A93" s="5"/>
      <c r="B93" s="1395" t="s">
        <v>161</v>
      </c>
      <c r="C93" s="1396"/>
      <c r="D93" s="565">
        <f>SUM(D6:D91)</f>
        <v>842</v>
      </c>
      <c r="E93" s="566"/>
      <c r="F93" s="565">
        <f>SUM(F6:F91)</f>
        <v>174</v>
      </c>
      <c r="G93" s="567">
        <f>F93/D93</f>
        <v>0.20665083135391923</v>
      </c>
      <c r="H93" s="637">
        <f>SUM(H6:H91)</f>
        <v>53071.329999999994</v>
      </c>
      <c r="I93" s="569"/>
      <c r="J93" s="570">
        <f>SUM(J6:J91)/22</f>
        <v>61.49626634923043</v>
      </c>
      <c r="K93" s="571">
        <f aca="true" t="shared" si="1" ref="K93:AD93">K5*K92</f>
        <v>8613.800000000001</v>
      </c>
      <c r="L93" s="571">
        <f t="shared" si="1"/>
        <v>5151.000000000001</v>
      </c>
      <c r="M93" s="571">
        <f t="shared" si="1"/>
        <v>308.65</v>
      </c>
      <c r="N93" s="571">
        <f t="shared" si="1"/>
        <v>9726.75</v>
      </c>
      <c r="O93" s="571">
        <f t="shared" si="1"/>
        <v>252</v>
      </c>
      <c r="P93" s="571">
        <f t="shared" si="1"/>
        <v>230.70000000000002</v>
      </c>
      <c r="Q93" s="571">
        <f t="shared" si="1"/>
        <v>2486.24</v>
      </c>
      <c r="R93" s="571">
        <f t="shared" si="1"/>
        <v>1668.4</v>
      </c>
      <c r="S93" s="571">
        <f t="shared" si="1"/>
        <v>4697.84</v>
      </c>
      <c r="T93" s="571">
        <f t="shared" si="1"/>
        <v>957.6600000000001</v>
      </c>
      <c r="U93" s="571">
        <f t="shared" si="1"/>
        <v>420.84000000000003</v>
      </c>
      <c r="V93" s="571">
        <f>V5*V92</f>
        <v>8267.85</v>
      </c>
      <c r="W93" s="571">
        <f t="shared" si="1"/>
        <v>488.16</v>
      </c>
      <c r="X93" s="571">
        <f t="shared" si="1"/>
        <v>959.4000000000001</v>
      </c>
      <c r="Y93" s="571">
        <f t="shared" si="1"/>
        <v>2273.58</v>
      </c>
      <c r="Z93" s="571">
        <f t="shared" si="1"/>
        <v>1800</v>
      </c>
      <c r="AA93" s="571">
        <f t="shared" si="1"/>
        <v>2176.2000000000003</v>
      </c>
      <c r="AB93" s="571">
        <f t="shared" si="1"/>
        <v>1800</v>
      </c>
      <c r="AC93" s="571">
        <f t="shared" si="1"/>
        <v>26</v>
      </c>
      <c r="AD93" s="593">
        <f t="shared" si="1"/>
        <v>900</v>
      </c>
    </row>
    <row r="94" spans="2:30" ht="15" customHeight="1" thickBot="1" thickTop="1">
      <c r="B94" s="572"/>
      <c r="C94" s="572"/>
      <c r="D94" s="572"/>
      <c r="E94" s="572"/>
      <c r="F94" s="572"/>
      <c r="G94" s="573"/>
      <c r="H94" s="572"/>
      <c r="I94" s="573"/>
      <c r="J94" s="573"/>
      <c r="K94" s="572"/>
      <c r="L94" s="572"/>
      <c r="M94" s="572"/>
      <c r="N94" s="572"/>
      <c r="O94" s="572"/>
      <c r="P94" s="572"/>
      <c r="Q94" s="572"/>
      <c r="R94" s="572"/>
      <c r="S94" s="572"/>
      <c r="T94" s="572"/>
      <c r="U94" s="572"/>
      <c r="V94" s="572"/>
      <c r="W94" s="572"/>
      <c r="X94" s="572"/>
      <c r="Y94" s="572"/>
      <c r="Z94" s="572"/>
      <c r="AA94" s="572"/>
      <c r="AB94" s="572"/>
      <c r="AC94" s="572"/>
      <c r="AD94" s="572"/>
    </row>
    <row r="95" spans="2:30" ht="22.5" thickBot="1" thickTop="1">
      <c r="B95" s="1397" t="s">
        <v>58</v>
      </c>
      <c r="C95" s="1398"/>
      <c r="D95" s="1398"/>
      <c r="E95" s="1398"/>
      <c r="F95" s="1398"/>
      <c r="G95" s="1398"/>
      <c r="H95" s="1398"/>
      <c r="I95" s="1398"/>
      <c r="J95" s="1398"/>
      <c r="K95" s="1398"/>
      <c r="L95" s="1398"/>
      <c r="M95" s="574">
        <f>SUM(F6:F91)</f>
        <v>174</v>
      </c>
      <c r="N95" s="575"/>
      <c r="O95" s="575"/>
      <c r="P95" s="576"/>
      <c r="Q95" s="576"/>
      <c r="R95" s="576"/>
      <c r="S95" s="576"/>
      <c r="T95" s="576"/>
      <c r="U95" s="576"/>
      <c r="V95" s="576"/>
      <c r="W95" s="576"/>
      <c r="X95" s="576"/>
      <c r="Y95" s="576"/>
      <c r="Z95" s="576"/>
      <c r="AA95" s="578"/>
      <c r="AB95" s="576"/>
      <c r="AC95" s="576"/>
      <c r="AD95" s="576"/>
    </row>
    <row r="96" ht="13.5" thickTop="1"/>
  </sheetData>
  <sheetProtection/>
  <mergeCells count="196">
    <mergeCell ref="I86:I91"/>
    <mergeCell ref="J86:J91"/>
    <mergeCell ref="B92:C92"/>
    <mergeCell ref="B93:C93"/>
    <mergeCell ref="B95:L95"/>
    <mergeCell ref="B86:C91"/>
    <mergeCell ref="D86:D91"/>
    <mergeCell ref="E86:E91"/>
    <mergeCell ref="F86:F91"/>
    <mergeCell ref="G86:G91"/>
    <mergeCell ref="H86:H91"/>
    <mergeCell ref="I74:I78"/>
    <mergeCell ref="J74:J78"/>
    <mergeCell ref="B79:C85"/>
    <mergeCell ref="D79:D85"/>
    <mergeCell ref="E79:E85"/>
    <mergeCell ref="F79:F85"/>
    <mergeCell ref="G79:G85"/>
    <mergeCell ref="H79:H85"/>
    <mergeCell ref="I79:I85"/>
    <mergeCell ref="J79:J85"/>
    <mergeCell ref="B74:C78"/>
    <mergeCell ref="D74:D78"/>
    <mergeCell ref="E74:E78"/>
    <mergeCell ref="F74:F78"/>
    <mergeCell ref="G74:G78"/>
    <mergeCell ref="H74:H78"/>
    <mergeCell ref="I68:I70"/>
    <mergeCell ref="J68:J70"/>
    <mergeCell ref="B71:C73"/>
    <mergeCell ref="D71:D73"/>
    <mergeCell ref="E71:E73"/>
    <mergeCell ref="F71:F73"/>
    <mergeCell ref="G71:G73"/>
    <mergeCell ref="H71:H73"/>
    <mergeCell ref="I71:I73"/>
    <mergeCell ref="J71:J73"/>
    <mergeCell ref="B68:C70"/>
    <mergeCell ref="D68:D70"/>
    <mergeCell ref="E68:E70"/>
    <mergeCell ref="F68:F70"/>
    <mergeCell ref="G68:G70"/>
    <mergeCell ref="H68:H70"/>
    <mergeCell ref="I60:I62"/>
    <mergeCell ref="J60:J62"/>
    <mergeCell ref="B63:C67"/>
    <mergeCell ref="D63:D67"/>
    <mergeCell ref="E63:E67"/>
    <mergeCell ref="F63:F67"/>
    <mergeCell ref="G63:G67"/>
    <mergeCell ref="H63:H67"/>
    <mergeCell ref="I63:I67"/>
    <mergeCell ref="J63:J67"/>
    <mergeCell ref="B60:C62"/>
    <mergeCell ref="D60:D62"/>
    <mergeCell ref="E60:E62"/>
    <mergeCell ref="F60:F62"/>
    <mergeCell ref="G60:G62"/>
    <mergeCell ref="H60:H62"/>
    <mergeCell ref="I53:I56"/>
    <mergeCell ref="J53:J56"/>
    <mergeCell ref="B57:C59"/>
    <mergeCell ref="D57:D59"/>
    <mergeCell ref="E57:E59"/>
    <mergeCell ref="F57:F59"/>
    <mergeCell ref="G57:G59"/>
    <mergeCell ref="H57:H59"/>
    <mergeCell ref="I57:I59"/>
    <mergeCell ref="J57:J59"/>
    <mergeCell ref="B53:C56"/>
    <mergeCell ref="D53:D56"/>
    <mergeCell ref="E53:E56"/>
    <mergeCell ref="F53:F56"/>
    <mergeCell ref="G53:G56"/>
    <mergeCell ref="H53:H56"/>
    <mergeCell ref="I44:I48"/>
    <mergeCell ref="J44:J48"/>
    <mergeCell ref="B49:C52"/>
    <mergeCell ref="D49:D52"/>
    <mergeCell ref="E49:E52"/>
    <mergeCell ref="F49:F52"/>
    <mergeCell ref="G49:G52"/>
    <mergeCell ref="H49:H52"/>
    <mergeCell ref="I49:I52"/>
    <mergeCell ref="J49:J52"/>
    <mergeCell ref="B44:C48"/>
    <mergeCell ref="D44:D48"/>
    <mergeCell ref="E44:E48"/>
    <mergeCell ref="F44:F48"/>
    <mergeCell ref="G44:G48"/>
    <mergeCell ref="H44:H48"/>
    <mergeCell ref="I38:I40"/>
    <mergeCell ref="J38:J40"/>
    <mergeCell ref="B41:C43"/>
    <mergeCell ref="D41:D43"/>
    <mergeCell ref="E41:E43"/>
    <mergeCell ref="F41:F43"/>
    <mergeCell ref="G41:G43"/>
    <mergeCell ref="H41:H43"/>
    <mergeCell ref="I41:I43"/>
    <mergeCell ref="J41:J43"/>
    <mergeCell ref="B38:C40"/>
    <mergeCell ref="D38:D40"/>
    <mergeCell ref="E38:E40"/>
    <mergeCell ref="F38:F40"/>
    <mergeCell ref="G38:G40"/>
    <mergeCell ref="H38:H40"/>
    <mergeCell ref="J32:J34"/>
    <mergeCell ref="B35:C37"/>
    <mergeCell ref="D35:D37"/>
    <mergeCell ref="E35:E37"/>
    <mergeCell ref="F35:F37"/>
    <mergeCell ref="G35:G37"/>
    <mergeCell ref="H35:H37"/>
    <mergeCell ref="I35:I37"/>
    <mergeCell ref="J35:J37"/>
    <mergeCell ref="I29:I31"/>
    <mergeCell ref="J29:J31"/>
    <mergeCell ref="AE29:AE31"/>
    <mergeCell ref="B32:C34"/>
    <mergeCell ref="D32:D34"/>
    <mergeCell ref="E32:E34"/>
    <mergeCell ref="F32:F34"/>
    <mergeCell ref="G32:G34"/>
    <mergeCell ref="H32:H34"/>
    <mergeCell ref="I32:I34"/>
    <mergeCell ref="B29:C31"/>
    <mergeCell ref="D29:D31"/>
    <mergeCell ref="E29:E31"/>
    <mergeCell ref="F29:F31"/>
    <mergeCell ref="G29:G31"/>
    <mergeCell ref="H29:H31"/>
    <mergeCell ref="I22:I24"/>
    <mergeCell ref="J22:J24"/>
    <mergeCell ref="B25:C28"/>
    <mergeCell ref="D25:D28"/>
    <mergeCell ref="E25:E28"/>
    <mergeCell ref="F25:F28"/>
    <mergeCell ref="G25:G28"/>
    <mergeCell ref="H25:H28"/>
    <mergeCell ref="I25:I28"/>
    <mergeCell ref="J25:J28"/>
    <mergeCell ref="B22:C24"/>
    <mergeCell ref="D22:D24"/>
    <mergeCell ref="E22:E24"/>
    <mergeCell ref="F22:F24"/>
    <mergeCell ref="G22:G24"/>
    <mergeCell ref="H22:H24"/>
    <mergeCell ref="I14:I18"/>
    <mergeCell ref="J14:J18"/>
    <mergeCell ref="B19:C21"/>
    <mergeCell ref="D19:D21"/>
    <mergeCell ref="E19:E21"/>
    <mergeCell ref="F19:F21"/>
    <mergeCell ref="G19:G21"/>
    <mergeCell ref="H19:H21"/>
    <mergeCell ref="I19:I21"/>
    <mergeCell ref="J19:J21"/>
    <mergeCell ref="B14:C18"/>
    <mergeCell ref="D14:D18"/>
    <mergeCell ref="E14:E18"/>
    <mergeCell ref="F14:F18"/>
    <mergeCell ref="G14:G18"/>
    <mergeCell ref="H14:H18"/>
    <mergeCell ref="I6:I8"/>
    <mergeCell ref="J6:J8"/>
    <mergeCell ref="B9:C13"/>
    <mergeCell ref="D9:D13"/>
    <mergeCell ref="E9:E13"/>
    <mergeCell ref="F9:F13"/>
    <mergeCell ref="G9:G13"/>
    <mergeCell ref="H9:H13"/>
    <mergeCell ref="I9:I13"/>
    <mergeCell ref="J9:J13"/>
    <mergeCell ref="Y2:Y3"/>
    <mergeCell ref="Z2:AD2"/>
    <mergeCell ref="B4:C4"/>
    <mergeCell ref="B5:C5"/>
    <mergeCell ref="B6:C8"/>
    <mergeCell ref="D6:D8"/>
    <mergeCell ref="E6:E8"/>
    <mergeCell ref="F6:F8"/>
    <mergeCell ref="G6:G8"/>
    <mergeCell ref="H6:H8"/>
    <mergeCell ref="I2:I3"/>
    <mergeCell ref="J2:J3"/>
    <mergeCell ref="K2:P2"/>
    <mergeCell ref="R2:S2"/>
    <mergeCell ref="T2:V2"/>
    <mergeCell ref="W2:X2"/>
    <mergeCell ref="B2:C3"/>
    <mergeCell ref="D2:D3"/>
    <mergeCell ref="E2:E3"/>
    <mergeCell ref="F2:F3"/>
    <mergeCell ref="G2:G3"/>
    <mergeCell ref="H2:H3"/>
  </mergeCells>
  <printOptions/>
  <pageMargins left="0.47" right="0.2" top="0.16" bottom="0.31" header="0.28" footer="0.31"/>
  <pageSetup fitToHeight="1" fitToWidth="1" horizontalDpi="600" verticalDpi="600" orientation="landscape" paperSize="8" scale="50"/>
  <headerFooter alignWithMargins="0">
    <oddFooter>&amp;C&amp;K000000&amp;D&amp;R&amp;"Calibri,Gras"&amp;12&amp;K000000DOTATIONS MATERIELS CLUBS 2015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Famillial</dc:creator>
  <cp:keywords/>
  <dc:description/>
  <cp:lastModifiedBy>Microsoft Office User</cp:lastModifiedBy>
  <cp:lastPrinted>2017-05-12T08:38:34Z</cp:lastPrinted>
  <dcterms:created xsi:type="dcterms:W3CDTF">2008-04-05T16:46:40Z</dcterms:created>
  <dcterms:modified xsi:type="dcterms:W3CDTF">2023-08-24T10:26:17Z</dcterms:modified>
  <cp:category/>
  <cp:version/>
  <cp:contentType/>
  <cp:contentStatus/>
</cp:coreProperties>
</file>